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36" yWindow="705" windowWidth="2040" windowHeight="12075" activeTab="4"/>
  </bookViews>
  <sheets>
    <sheet name="Krycí list rozpočtu" sheetId="1" r:id="rId1"/>
    <sheet name="VORN" sheetId="2" r:id="rId2"/>
    <sheet name="Stavební rozpočet - součet" sheetId="3" r:id="rId3"/>
    <sheet name="Stavební rozpočet" sheetId="4" r:id="rId4"/>
    <sheet name="Rozpočet - vybrané sloupce" sheetId="5" r:id="rId5"/>
  </sheets>
  <definedNames>
    <definedName name="vorn_sum">'VORN'!$I$45</definedName>
  </definedNames>
  <calcPr fullCalcOnLoad="1"/>
</workbook>
</file>

<file path=xl/sharedStrings.xml><?xml version="1.0" encoding="utf-8"?>
<sst xmlns="http://schemas.openxmlformats.org/spreadsheetml/2006/main" count="1180" uniqueCount="309">
  <si>
    <t>Doba výstavby:</t>
  </si>
  <si>
    <t>Hloubené vykopávky</t>
  </si>
  <si>
    <t>Projektant</t>
  </si>
  <si>
    <t>Základ 15%</t>
  </si>
  <si>
    <t>998222095R00</t>
  </si>
  <si>
    <t>998782101R00</t>
  </si>
  <si>
    <t>Základ 21%</t>
  </si>
  <si>
    <t>211561111R00</t>
  </si>
  <si>
    <t>20</t>
  </si>
  <si>
    <t>Dodávka</t>
  </si>
  <si>
    <t>NUS celkem z obj.</t>
  </si>
  <si>
    <t>Náklady (Kč) - celkem</t>
  </si>
  <si>
    <t>Název stavby:</t>
  </si>
  <si>
    <t>Ostatní materiál</t>
  </si>
  <si>
    <t>29</t>
  </si>
  <si>
    <t>Č</t>
  </si>
  <si>
    <t>(2*3,214*0,77)*0,5</t>
  </si>
  <si>
    <t>89_</t>
  </si>
  <si>
    <t>Přípl.za lepivost,hloubení rýh 200cm,hor.3,STROJNĚ</t>
  </si>
  <si>
    <t>Poznámka:</t>
  </si>
  <si>
    <t>Lokalita:</t>
  </si>
  <si>
    <t>16</t>
  </si>
  <si>
    <t>PSV</t>
  </si>
  <si>
    <t>24</t>
  </si>
  <si>
    <t>Bez pevné podl.</t>
  </si>
  <si>
    <t>D+M Železobeton základových desek vodostavební C 30/37</t>
  </si>
  <si>
    <t>Celkem</t>
  </si>
  <si>
    <t>Hloubení rýh š.do 200 cm hor.3 do 50 m3,STROJNĚ</t>
  </si>
  <si>
    <t>Zařízení staveniště</t>
  </si>
  <si>
    <t>Trativody z drenážních trubek DN 10 cm bez lože</t>
  </si>
  <si>
    <t>D+M Šachta RŠ0 D 600 mm, dl.šach.roury 1,0 m, odbočná, plastová, teleskopická, poklop litina 12,5t</t>
  </si>
  <si>
    <t>1_</t>
  </si>
  <si>
    <t>4</t>
  </si>
  <si>
    <t>((5,8*10,6*1)-8,03712)*1,6+(0,92*0,92*3,14*1)*1,6   1,6t /m3 - podsyp pod vsakovacími bloky a pod vsakovací studnou</t>
  </si>
  <si>
    <t>Základní rozpočtové náklady</t>
  </si>
  <si>
    <t>Geotextilie 300 g/m2 do 6 m</t>
  </si>
  <si>
    <t>26</t>
  </si>
  <si>
    <t>894431411RDA</t>
  </si>
  <si>
    <t>Sazba DPH</t>
  </si>
  <si>
    <t>Konstrukce ze zemin</t>
  </si>
  <si>
    <t>Celkem bez DPH</t>
  </si>
  <si>
    <t>Vedlejší a ostatní rozpočtové náklady</t>
  </si>
  <si>
    <t>2,47478</t>
  </si>
  <si>
    <t>2_</t>
  </si>
  <si>
    <t>Hmotnost (t)</t>
  </si>
  <si>
    <t>782131130RT1</t>
  </si>
  <si>
    <t>Obkladací dlaždice čedičová tl.do 20mm</t>
  </si>
  <si>
    <t>6</t>
  </si>
  <si>
    <t>Rozpočtové náklady v Kč</t>
  </si>
  <si>
    <t>398,084+18,45</t>
  </si>
  <si>
    <t>273323611RT6</t>
  </si>
  <si>
    <t>B</t>
  </si>
  <si>
    <t>Náklady na umístění stavby (NUS)</t>
  </si>
  <si>
    <t>Montáž</t>
  </si>
  <si>
    <t>Datum, razítko a podpis</t>
  </si>
  <si>
    <t>ZRN celkem</t>
  </si>
  <si>
    <t>979093111R00</t>
  </si>
  <si>
    <t>17_</t>
  </si>
  <si>
    <t>Bednění základových desek odstranění</t>
  </si>
  <si>
    <t>33</t>
  </si>
  <si>
    <t>DPH 15%</t>
  </si>
  <si>
    <t>132201210R00</t>
  </si>
  <si>
    <t>Štěrkodrtě frakce 0-125 B</t>
  </si>
  <si>
    <t>Základna</t>
  </si>
  <si>
    <t>25</t>
  </si>
  <si>
    <t>kus</t>
  </si>
  <si>
    <t>Dodávky</t>
  </si>
  <si>
    <t>soustava</t>
  </si>
  <si>
    <t>Ostatní mat.</t>
  </si>
  <si>
    <t>(8,5+3,8)*1*1,5</t>
  </si>
  <si>
    <t>nátok KG D 315 mm, poklop litina 12,5 t na kónusu DN600, 2x navrtávka pro KG D 315mm</t>
  </si>
  <si>
    <t>398,084*0,16</t>
  </si>
  <si>
    <t>Cenová</t>
  </si>
  <si>
    <t>Nakládání výkopku z hor. 1 ÷ 4 v množství nad 100 m3</t>
  </si>
  <si>
    <t>8,03712</t>
  </si>
  <si>
    <t>HSV prac</t>
  </si>
  <si>
    <t>13</t>
  </si>
  <si>
    <t>"M"</t>
  </si>
  <si>
    <t>Krycí list rozpočtu</t>
  </si>
  <si>
    <t>Cena/MJ</t>
  </si>
  <si>
    <t>Náklady dodávka (Kč)</t>
  </si>
  <si>
    <t>Konec výstavby:</t>
  </si>
  <si>
    <t>Montáž tuhé drenáž. trubky do rýhy DN 200,bez lože</t>
  </si>
  <si>
    <t>Kód</t>
  </si>
  <si>
    <t>Jednot.</t>
  </si>
  <si>
    <t>(1*1*13)*1,6   1,6t/m3- zásyp kanalizací</t>
  </si>
  <si>
    <t>Úprava podloží a základové spáry</t>
  </si>
  <si>
    <t>182101101R00</t>
  </si>
  <si>
    <t>Náklady montáž (Kč)</t>
  </si>
  <si>
    <t>213151121R00</t>
  </si>
  <si>
    <t>MJ</t>
  </si>
  <si>
    <t>Celkem ORN</t>
  </si>
  <si>
    <t>Doplňkové náklady</t>
  </si>
  <si>
    <t>273354111R00</t>
  </si>
  <si>
    <t>Hloubení nezapaž. jam hor.3 do 1000 m3, STROJNĚ</t>
  </si>
  <si>
    <t>PSV prac</t>
  </si>
  <si>
    <t>HSV</t>
  </si>
  <si>
    <t>Vedlejší rozpočtové náklady VRN</t>
  </si>
  <si>
    <t>Přesun hmot</t>
  </si>
  <si>
    <t>9</t>
  </si>
  <si>
    <t>161101102R00</t>
  </si>
  <si>
    <t>69370514</t>
  </si>
  <si>
    <t>Celková/MJ</t>
  </si>
  <si>
    <t>15</t>
  </si>
  <si>
    <t>ISWORK</t>
  </si>
  <si>
    <t>Celkem včetně DPH</t>
  </si>
  <si>
    <t>Celkem NUS</t>
  </si>
  <si>
    <t>213151111R00</t>
  </si>
  <si>
    <t>Základ 0%</t>
  </si>
  <si>
    <t>Přesun hmot, komunikace z kameniva, dalších 5 km</t>
  </si>
  <si>
    <t>998222094R00</t>
  </si>
  <si>
    <t>Celková hmotnost (t)</t>
  </si>
  <si>
    <t>Mont prac</t>
  </si>
  <si>
    <t>212532111R00</t>
  </si>
  <si>
    <t>78_</t>
  </si>
  <si>
    <t>Štěrkodrtě frakce 0-32 A</t>
  </si>
  <si>
    <t>23</t>
  </si>
  <si>
    <t>Stavební rozpočet - rekapitulace</t>
  </si>
  <si>
    <t>Obklady z přírodního a konglomerovaného kamene</t>
  </si>
  <si>
    <t>t</t>
  </si>
  <si>
    <t> </t>
  </si>
  <si>
    <t>R894431632R</t>
  </si>
  <si>
    <t>JKSO:</t>
  </si>
  <si>
    <t>18_</t>
  </si>
  <si>
    <t>Náklady (Kč) - dodávka</t>
  </si>
  <si>
    <t>((11,6*2,55*5,8)+(2,6*2,6)/2*15,8*2+(2,6*2,6)/2*5,8*2-9,6*4,8*0,52)*1,7   1,7/m3 -zásyp vsakovacího objektu</t>
  </si>
  <si>
    <t>Lože trativodu z kameniva hrub.drceného,16-32 mm</t>
  </si>
  <si>
    <t>P</t>
  </si>
  <si>
    <t>Varianta:</t>
  </si>
  <si>
    <t>DN celkem</t>
  </si>
  <si>
    <t>Zásyp jam, rýh, šachet se zhutněním</t>
  </si>
  <si>
    <t>GROUPCODE</t>
  </si>
  <si>
    <t>Náklady celkem (Kč)</t>
  </si>
  <si>
    <t>Provozní vlivy</t>
  </si>
  <si>
    <t>5</t>
  </si>
  <si>
    <t>782</t>
  </si>
  <si>
    <t>Stavební rozpočet</t>
  </si>
  <si>
    <t>Druh stavby:</t>
  </si>
  <si>
    <t>609,712*6   30km</t>
  </si>
  <si>
    <t>Zpracováno dne:</t>
  </si>
  <si>
    <t>10</t>
  </si>
  <si>
    <t>36</t>
  </si>
  <si>
    <t>14</t>
  </si>
  <si>
    <t>31</t>
  </si>
  <si>
    <t>Množství</t>
  </si>
  <si>
    <t>Uložení suti na skládku bez zhutnění</t>
  </si>
  <si>
    <t>212755114R00</t>
  </si>
  <si>
    <t>21_</t>
  </si>
  <si>
    <t>Typ skupiny</t>
  </si>
  <si>
    <t>83_</t>
  </si>
  <si>
    <t>831350014RAB</t>
  </si>
  <si>
    <t>19</t>
  </si>
  <si>
    <t>212753217R00</t>
  </si>
  <si>
    <t>C</t>
  </si>
  <si>
    <t>Náklady (Kč)</t>
  </si>
  <si>
    <t>30</t>
  </si>
  <si>
    <t>vlastní</t>
  </si>
  <si>
    <t>Ostatní konstrukce a práce na trubním vedení</t>
  </si>
  <si>
    <t>IČO/DIČ:</t>
  </si>
  <si>
    <t>Ostatní</t>
  </si>
  <si>
    <t>Svahování v zářezech v hor. 1 - 4</t>
  </si>
  <si>
    <t>Zpracoval:</t>
  </si>
  <si>
    <t>162701102RT3</t>
  </si>
  <si>
    <t>Přesun hmot, trubní vedení plastová, otevř. výkop</t>
  </si>
  <si>
    <t>Zhotovitel</t>
  </si>
  <si>
    <t>27_</t>
  </si>
  <si>
    <t>2</t>
  </si>
  <si>
    <t>Projektant:</t>
  </si>
  <si>
    <t>ORN celkem</t>
  </si>
  <si>
    <t>nosnost 12 t</t>
  </si>
  <si>
    <t>Zkrácený popis / Varianta</t>
  </si>
  <si>
    <t/>
  </si>
  <si>
    <t>17</t>
  </si>
  <si>
    <t>XF4 odolnost proti střídavému působení mrazu</t>
  </si>
  <si>
    <t>Celková hmotnost(t)</t>
  </si>
  <si>
    <t>ks</t>
  </si>
  <si>
    <t>Svislé přemístění výkopku z hor.1-4 do 4,0 m</t>
  </si>
  <si>
    <t>M</t>
  </si>
  <si>
    <t>21</t>
  </si>
  <si>
    <t>Potrubí z trub kameninových</t>
  </si>
  <si>
    <t>Práce přesčas</t>
  </si>
  <si>
    <t xml:space="preserve">   revizní šachtice RŠ0</t>
  </si>
  <si>
    <t>132201219R00</t>
  </si>
  <si>
    <t>174101101R00</t>
  </si>
  <si>
    <t>(0,6*2+4,8*2+0,52*4+0,6*2)*9,6+(0,6*4,8+0,52*0,6*2)*2</t>
  </si>
  <si>
    <t>12</t>
  </si>
  <si>
    <t>Kulturní památka</t>
  </si>
  <si>
    <t>Objekt</t>
  </si>
  <si>
    <t>DPH 21%</t>
  </si>
  <si>
    <t>Parkoviště Majakovského -Vsakovací objekt a kanalizace</t>
  </si>
  <si>
    <t>131201112R00</t>
  </si>
  <si>
    <t>_</t>
  </si>
  <si>
    <t>ORN celkem z obj.</t>
  </si>
  <si>
    <t>0,77*0,77*3,14*0,2   Podkladní beton nátokové šachtice včetně vyztužení</t>
  </si>
  <si>
    <t>nátok KG D 315 mm, poklop litina 12,5 t na kńusu DN600, 2x navrtávka pro KG D 315mm, 2x navrtávka pro DN100; stupadla</t>
  </si>
  <si>
    <t>Přesuny</t>
  </si>
  <si>
    <t>MAT</t>
  </si>
  <si>
    <t>58344169</t>
  </si>
  <si>
    <t>8</t>
  </si>
  <si>
    <t>Přesun hmot pro kanalizace betonové, otevř. výkop</t>
  </si>
  <si>
    <t>Celkem:</t>
  </si>
  <si>
    <t>131201119R00</t>
  </si>
  <si>
    <t>Mimostav. doprava</t>
  </si>
  <si>
    <t>18</t>
  </si>
  <si>
    <t>DN celkem z obj.</t>
  </si>
  <si>
    <t>Příplatek za lepivost - hloubení nezap.jam v hor.3</t>
  </si>
  <si>
    <t>398,084</t>
  </si>
  <si>
    <t>hloubka 1,5 m</t>
  </si>
  <si>
    <t>Základy</t>
  </si>
  <si>
    <t>m</t>
  </si>
  <si>
    <t>Přemístění výkopku</t>
  </si>
  <si>
    <t>11</t>
  </si>
  <si>
    <t>RTS II / 2022</t>
  </si>
  <si>
    <t>Karviná</t>
  </si>
  <si>
    <t>32</t>
  </si>
  <si>
    <t>Objednatel:</t>
  </si>
  <si>
    <t>dno KG D 315 mm, poklop litina 12,5 t</t>
  </si>
  <si>
    <t>416,534-(4,8*9,6)-(0,625*0,625*3,14*2)   odpočet vsakovacího bloku a šachet</t>
  </si>
  <si>
    <t>8_</t>
  </si>
  <si>
    <t>PSV mat</t>
  </si>
  <si>
    <t>Poplatek za uložení, zemina a kamení, (skup.170504)</t>
  </si>
  <si>
    <t>Bednění základových desek zřízení</t>
  </si>
  <si>
    <t>2*3,14*0,5*2   Obklad nátokové šachty</t>
  </si>
  <si>
    <t>58344209</t>
  </si>
  <si>
    <t>3</t>
  </si>
  <si>
    <t>Obalení vsakovacích bloků geotextílií</t>
  </si>
  <si>
    <t>pouze montáž - obklad ve specifikaci</t>
  </si>
  <si>
    <t>998276101R00</t>
  </si>
  <si>
    <t>Zhotovitel:</t>
  </si>
  <si>
    <t>%</t>
  </si>
  <si>
    <t>Jednotková cena (Kč)</t>
  </si>
  <si>
    <t>273354211R00</t>
  </si>
  <si>
    <t>35</t>
  </si>
  <si>
    <t>Začátek výstavby:</t>
  </si>
  <si>
    <t>3,7*15,8*2+11*3,7*2   svahovaná plocha</t>
  </si>
  <si>
    <t>A</t>
  </si>
  <si>
    <t>Mont mat</t>
  </si>
  <si>
    <t>167101102R00</t>
  </si>
  <si>
    <t>13_</t>
  </si>
  <si>
    <t xml:space="preserve"> </t>
  </si>
  <si>
    <t>16_</t>
  </si>
  <si>
    <t>Přesun hmot, komunikace z kameniva, příplatek 5 km</t>
  </si>
  <si>
    <t>10.02.2023</t>
  </si>
  <si>
    <t>Objednatel</t>
  </si>
  <si>
    <t>(Kč)</t>
  </si>
  <si>
    <t>22</t>
  </si>
  <si>
    <t>R894431632</t>
  </si>
  <si>
    <t>Územní vlivy</t>
  </si>
  <si>
    <t>m3</t>
  </si>
  <si>
    <t>T</t>
  </si>
  <si>
    <t>Datum:</t>
  </si>
  <si>
    <t>27</t>
  </si>
  <si>
    <t>37</t>
  </si>
  <si>
    <t>m2</t>
  </si>
  <si>
    <t>Přesun hmot a sutí</t>
  </si>
  <si>
    <t>NUS z rozpočtu</t>
  </si>
  <si>
    <t>1</t>
  </si>
  <si>
    <t>7</t>
  </si>
  <si>
    <t>979999973R00</t>
  </si>
  <si>
    <t>Rozměry</t>
  </si>
  <si>
    <t>Vsakovací blok 1,2x2,4x0,52</t>
  </si>
  <si>
    <t>998271301R00</t>
  </si>
  <si>
    <t>Položek:</t>
  </si>
  <si>
    <t>NUS celkem</t>
  </si>
  <si>
    <t>WORK</t>
  </si>
  <si>
    <t>Povrchové úpravy terénu</t>
  </si>
  <si>
    <t>83</t>
  </si>
  <si>
    <t>Obklad stěn kamenem tvrdým, rovným tl. 1 a 2 cm</t>
  </si>
  <si>
    <t>Ostatní rozpočtové náklady ORN</t>
  </si>
  <si>
    <t>782_</t>
  </si>
  <si>
    <t>HSV mat</t>
  </si>
  <si>
    <t>Kč</t>
  </si>
  <si>
    <t>(9,81+1,54*2)*2</t>
  </si>
  <si>
    <t>28611226.A</t>
  </si>
  <si>
    <t>(2,6*2,6)/2*15,8*2+(2,6*2,6)/2*5,8*2+5,8*2,6*10,6+5,8*10,6*1,5</t>
  </si>
  <si>
    <t>D+M Šachta RŠ2, D 1000 mm, dl.šach.skruže 4,3, bez dna</t>
  </si>
  <si>
    <t>Celkem VRN</t>
  </si>
  <si>
    <t>Montáž vsakovacího bloku nebo tunelu do V 450 l</t>
  </si>
  <si>
    <t>89</t>
  </si>
  <si>
    <t>Ostatní rozpočtové náklady (ORN)</t>
  </si>
  <si>
    <t>Celkem DN</t>
  </si>
  <si>
    <t>100RVD</t>
  </si>
  <si>
    <t>Zkrácený popis</t>
  </si>
  <si>
    <t>28</t>
  </si>
  <si>
    <t>998012021R0</t>
  </si>
  <si>
    <t>Přesun hmot pro obklady z kamene, výšky do 6 m</t>
  </si>
  <si>
    <t>Vodorovné přemístění výkopku z hor.1-4 do 7000 m</t>
  </si>
  <si>
    <t>CELK</t>
  </si>
  <si>
    <t>D+M Kanalizace z trub PVC hrdlových D 315 mm</t>
  </si>
  <si>
    <t>34</t>
  </si>
  <si>
    <t>Doplňkové náklady DN</t>
  </si>
  <si>
    <t>D+M Šachta RŠ1, D 1000 mm, dl.šach.skruže 4,3, bez dna</t>
  </si>
  <si>
    <t>R63232515</t>
  </si>
  <si>
    <t>Výplň odvodňovacích žeber kam. hrubě drcen. 16 mm</t>
  </si>
  <si>
    <t>Náklady (Kč) - Montáž</t>
  </si>
  <si>
    <t>Trubka PVC drenážní flexibilní d 200 mm</t>
  </si>
  <si>
    <t>Průzkumné, geodetické a projektové práce</t>
  </si>
  <si>
    <t>Příprava staveniště</t>
  </si>
  <si>
    <t>Zkoušky bez rozlišení</t>
  </si>
  <si>
    <t>Inženýrské činnosti</t>
  </si>
  <si>
    <t xml:space="preserve">   šachtice RŠ1-prefabrikované skruže</t>
  </si>
  <si>
    <t xml:space="preserve"> šachtice RŠ2-prefabrikované skruže</t>
  </si>
  <si>
    <t>(9,8*0,6*0,52+1,54*0,6*0,52*2)*2*1,1   odvodňovací žebra</t>
  </si>
  <si>
    <t>(9,8+1,54*2)*2*1,1    drenážní potrubí+ztratné</t>
  </si>
  <si>
    <t>142,176*1,1   geotextílie+ztratné</t>
  </si>
  <si>
    <t>(9,81+1,54*2)*2*1,1   odvětrávací potrubí+ztratné</t>
  </si>
  <si>
    <t>6,28*1,1   obklad+ztratné</t>
  </si>
  <si>
    <t>(8,5+3,8)*1,1 kanalizace pevnostní třídy SN8+ztratné</t>
  </si>
  <si>
    <t xml:space="preserve">   vsakovací blok voštinový-blok určený jako zakládací prvek systému únosnost v tlaku 600kPa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</si>
</sst>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6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i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i/>
      <sz val="8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1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8">
    <xf numFmtId="0" fontId="1" fillId="0" borderId="0" xfId="0" applyNumberFormat="1" applyFont="1" applyFill="1" applyBorder="1" applyAlignment="1" applyProtection="1">
      <alignment/>
      <protection/>
    </xf>
    <xf numFmtId="0" fontId="46" fillId="33" borderId="10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4" fontId="46" fillId="33" borderId="10" xfId="0" applyNumberFormat="1" applyFont="1" applyFill="1" applyBorder="1" applyAlignment="1" applyProtection="1">
      <alignment horizontal="righ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14" xfId="0" applyNumberFormat="1" applyFont="1" applyFill="1" applyBorder="1" applyAlignment="1" applyProtection="1">
      <alignment horizontal="right" vertical="center"/>
      <protection/>
    </xf>
    <xf numFmtId="4" fontId="49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5" xfId="0" applyNumberFormat="1" applyFont="1" applyFill="1" applyBorder="1" applyAlignment="1" applyProtection="1">
      <alignment horizontal="center" vertical="center"/>
      <protection/>
    </xf>
    <xf numFmtId="0" fontId="49" fillId="0" borderId="14" xfId="0" applyNumberFormat="1" applyFont="1" applyFill="1" applyBorder="1" applyAlignment="1" applyProtection="1">
      <alignment horizontal="righ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1" fontId="47" fillId="0" borderId="18" xfId="0" applyNumberFormat="1" applyFont="1" applyFill="1" applyBorder="1" applyAlignment="1" applyProtection="1">
      <alignment horizontal="lef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19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right" vertical="center"/>
      <protection/>
    </xf>
    <xf numFmtId="0" fontId="47" fillId="33" borderId="20" xfId="0" applyNumberFormat="1" applyFont="1" applyFill="1" applyBorder="1" applyAlignment="1" applyProtection="1">
      <alignment horizontal="left" vertical="center"/>
      <protection/>
    </xf>
    <xf numFmtId="4" fontId="50" fillId="33" borderId="14" xfId="0" applyNumberFormat="1" applyFont="1" applyFill="1" applyBorder="1" applyAlignment="1" applyProtection="1">
      <alignment horizontal="right" vertical="center"/>
      <protection/>
    </xf>
    <xf numFmtId="4" fontId="49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4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4" fontId="49" fillId="0" borderId="25" xfId="0" applyNumberFormat="1" applyFont="1" applyFill="1" applyBorder="1" applyAlignment="1" applyProtection="1">
      <alignment horizontal="right" vertical="center"/>
      <protection/>
    </xf>
    <xf numFmtId="4" fontId="46" fillId="33" borderId="1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 wrapText="1"/>
      <protection/>
    </xf>
    <xf numFmtId="0" fontId="46" fillId="33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26" xfId="0" applyNumberFormat="1" applyFont="1" applyFill="1" applyBorder="1" applyAlignment="1" applyProtection="1">
      <alignment horizontal="center" vertical="center"/>
      <protection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1" fontId="47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4" fontId="46" fillId="0" borderId="12" xfId="0" applyNumberFormat="1" applyFont="1" applyFill="1" applyBorder="1" applyAlignment="1" applyProtection="1">
      <alignment horizontal="right" vertical="center"/>
      <protection/>
    </xf>
    <xf numFmtId="0" fontId="46" fillId="0" borderId="28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29" xfId="0" applyNumberFormat="1" applyFont="1" applyFill="1" applyBorder="1" applyAlignment="1" applyProtection="1">
      <alignment horizontal="left" vertical="center"/>
      <protection/>
    </xf>
    <xf numFmtId="0" fontId="47" fillId="33" borderId="20" xfId="0" applyNumberFormat="1" applyFont="1" applyFill="1" applyBorder="1" applyAlignment="1" applyProtection="1">
      <alignment horizontal="left" vertical="center"/>
      <protection/>
    </xf>
    <xf numFmtId="0" fontId="46" fillId="33" borderId="20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left" vertical="center"/>
      <protection/>
    </xf>
    <xf numFmtId="0" fontId="51" fillId="33" borderId="30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20" xfId="0" applyNumberFormat="1" applyFont="1" applyFill="1" applyBorder="1" applyAlignment="1" applyProtection="1">
      <alignment horizontal="left" vertical="center"/>
      <protection/>
    </xf>
    <xf numFmtId="4" fontId="50" fillId="33" borderId="21" xfId="0" applyNumberFormat="1" applyFont="1" applyFill="1" applyBorder="1" applyAlignment="1" applyProtection="1">
      <alignment horizontal="right" vertical="center"/>
      <protection/>
    </xf>
    <xf numFmtId="0" fontId="51" fillId="33" borderId="21" xfId="0" applyNumberFormat="1" applyFont="1" applyFill="1" applyBorder="1" applyAlignment="1" applyProtection="1">
      <alignment horizontal="center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4" fontId="47" fillId="0" borderId="13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center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1" fontId="47" fillId="0" borderId="13" xfId="0" applyNumberFormat="1" applyFont="1" applyFill="1" applyBorder="1" applyAlignment="1" applyProtection="1">
      <alignment horizontal="left" vertical="center"/>
      <protection/>
    </xf>
    <xf numFmtId="0" fontId="50" fillId="0" borderId="31" xfId="0" applyNumberFormat="1" applyFont="1" applyFill="1" applyBorder="1" applyAlignment="1" applyProtection="1">
      <alignment horizontal="left" vertical="center"/>
      <protection/>
    </xf>
    <xf numFmtId="0" fontId="46" fillId="33" borderId="10" xfId="0" applyNumberFormat="1" applyFont="1" applyFill="1" applyBorder="1" applyAlignment="1" applyProtection="1">
      <alignment horizontal="right" vertical="center"/>
      <protection/>
    </xf>
    <xf numFmtId="0" fontId="46" fillId="0" borderId="32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14" xfId="0" applyNumberFormat="1" applyFont="1" applyFill="1" applyBorder="1" applyAlignment="1" applyProtection="1">
      <alignment horizontal="right" vertical="center"/>
      <protection/>
    </xf>
    <xf numFmtId="0" fontId="47" fillId="34" borderId="0" xfId="0" applyNumberFormat="1" applyFont="1" applyFill="1" applyBorder="1" applyAlignment="1" applyProtection="1">
      <alignment horizontal="left" vertical="center"/>
      <protection/>
    </xf>
    <xf numFmtId="4" fontId="49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33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1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4" fontId="47" fillId="35" borderId="0" xfId="0" applyNumberFormat="1" applyFont="1" applyFill="1" applyBorder="1" applyAlignment="1" applyProtection="1">
      <alignment horizontal="right" vertical="center"/>
      <protection locked="0"/>
    </xf>
    <xf numFmtId="4" fontId="47" fillId="35" borderId="13" xfId="0" applyNumberFormat="1" applyFont="1" applyFill="1" applyBorder="1" applyAlignment="1" applyProtection="1">
      <alignment horizontal="right" vertical="center"/>
      <protection locked="0"/>
    </xf>
    <xf numFmtId="4" fontId="47" fillId="35" borderId="14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34" xfId="0" applyNumberFormat="1" applyFont="1" applyFill="1" applyBorder="1" applyAlignment="1" applyProtection="1">
      <alignment horizontal="left" vertical="center" wrapText="1"/>
      <protection/>
    </xf>
    <xf numFmtId="0" fontId="47" fillId="0" borderId="35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 wrapText="1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35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35" xfId="0" applyNumberFormat="1" applyFont="1" applyFill="1" applyBorder="1" applyAlignment="1" applyProtection="1">
      <alignment horizontal="left" vertical="center" wrapText="1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1" fontId="47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7" xfId="0" applyNumberFormat="1" applyFont="1" applyFill="1" applyBorder="1" applyAlignment="1" applyProtection="1">
      <alignment horizontal="left" vertical="center"/>
      <protection/>
    </xf>
    <xf numFmtId="0" fontId="55" fillId="0" borderId="21" xfId="0" applyNumberFormat="1" applyFont="1" applyFill="1" applyBorder="1" applyAlignment="1" applyProtection="1">
      <alignment horizontal="left" vertical="center"/>
      <protection/>
    </xf>
    <xf numFmtId="0" fontId="50" fillId="0" borderId="18" xfId="0" applyNumberFormat="1" applyFont="1" applyFill="1" applyBorder="1" applyAlignment="1" applyProtection="1">
      <alignment horizontal="left" vertical="center"/>
      <protection/>
    </xf>
    <xf numFmtId="0" fontId="50" fillId="0" borderId="14" xfId="0" applyNumberFormat="1" applyFont="1" applyFill="1" applyBorder="1" applyAlignment="1" applyProtection="1">
      <alignment horizontal="left" vertical="center"/>
      <protection/>
    </xf>
    <xf numFmtId="0" fontId="50" fillId="0" borderId="20" xfId="0" applyNumberFormat="1" applyFont="1" applyFill="1" applyBorder="1" applyAlignment="1" applyProtection="1">
      <alignment horizontal="left" vertical="center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38" xfId="0" applyNumberFormat="1" applyFont="1" applyFill="1" applyBorder="1" applyAlignment="1" applyProtection="1">
      <alignment horizontal="left" vertical="center"/>
      <protection/>
    </xf>
    <xf numFmtId="0" fontId="50" fillId="0" borderId="21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37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left" vertical="center"/>
      <protection/>
    </xf>
    <xf numFmtId="0" fontId="50" fillId="33" borderId="38" xfId="0" applyNumberFormat="1" applyFont="1" applyFill="1" applyBorder="1" applyAlignment="1" applyProtection="1">
      <alignment horizontal="left" vertical="center"/>
      <protection/>
    </xf>
    <xf numFmtId="0" fontId="50" fillId="33" borderId="37" xfId="0" applyNumberFormat="1" applyFont="1" applyFill="1" applyBorder="1" applyAlignment="1" applyProtection="1">
      <alignment horizontal="left" vertical="center"/>
      <protection/>
    </xf>
    <xf numFmtId="0" fontId="50" fillId="33" borderId="18" xfId="0" applyNumberFormat="1" applyFont="1" applyFill="1" applyBorder="1" applyAlignment="1" applyProtection="1">
      <alignment horizontal="left" vertical="center"/>
      <protection/>
    </xf>
    <xf numFmtId="0" fontId="50" fillId="33" borderId="13" xfId="0" applyNumberFormat="1" applyFont="1" applyFill="1" applyBorder="1" applyAlignment="1" applyProtection="1">
      <alignment horizontal="left" vertical="center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49" fillId="0" borderId="24" xfId="0" applyNumberFormat="1" applyFont="1" applyFill="1" applyBorder="1" applyAlignment="1" applyProtection="1">
      <alignment horizontal="lef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40" xfId="0" applyNumberFormat="1" applyFont="1" applyFill="1" applyBorder="1" applyAlignment="1" applyProtection="1">
      <alignment horizontal="left" vertical="center"/>
      <protection/>
    </xf>
    <xf numFmtId="0" fontId="49" fillId="0" borderId="41" xfId="0" applyNumberFormat="1" applyFont="1" applyFill="1" applyBorder="1" applyAlignment="1" applyProtection="1">
      <alignment horizontal="left" vertical="center"/>
      <protection/>
    </xf>
    <xf numFmtId="0" fontId="49" fillId="0" borderId="42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43" xfId="0" applyNumberFormat="1" applyFont="1" applyFill="1" applyBorder="1" applyAlignment="1" applyProtection="1">
      <alignment horizontal="left" vertical="center"/>
      <protection/>
    </xf>
    <xf numFmtId="0" fontId="46" fillId="0" borderId="44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left" vertical="center"/>
      <protection/>
    </xf>
    <xf numFmtId="0" fontId="46" fillId="0" borderId="45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29" xfId="0" applyNumberFormat="1" applyFont="1" applyFill="1" applyBorder="1" applyAlignment="1" applyProtection="1">
      <alignment horizontal="left" vertical="center"/>
      <protection/>
    </xf>
    <xf numFmtId="0" fontId="50" fillId="0" borderId="45" xfId="0" applyNumberFormat="1" applyFont="1" applyFill="1" applyBorder="1" applyAlignment="1" applyProtection="1">
      <alignment horizontal="left" vertical="center"/>
      <protection/>
    </xf>
    <xf numFmtId="0" fontId="50" fillId="0" borderId="12" xfId="0" applyNumberFormat="1" applyFont="1" applyFill="1" applyBorder="1" applyAlignment="1" applyProtection="1">
      <alignment horizontal="left" vertical="center"/>
      <protection/>
    </xf>
    <xf numFmtId="4" fontId="50" fillId="0" borderId="45" xfId="0" applyNumberFormat="1" applyFont="1" applyFill="1" applyBorder="1" applyAlignment="1" applyProtection="1">
      <alignment horizontal="right" vertical="center"/>
      <protection/>
    </xf>
    <xf numFmtId="0" fontId="50" fillId="0" borderId="45" xfId="0" applyNumberFormat="1" applyFont="1" applyFill="1" applyBorder="1" applyAlignment="1" applyProtection="1">
      <alignment horizontal="right" vertical="center"/>
      <protection/>
    </xf>
    <xf numFmtId="0" fontId="50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36" xfId="0" applyNumberFormat="1" applyFont="1" applyFill="1" applyBorder="1" applyAlignment="1" applyProtection="1">
      <alignment horizontal="left" vertical="center" wrapText="1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6" fillId="0" borderId="43" xfId="0" applyNumberFormat="1" applyFont="1" applyFill="1" applyBorder="1" applyAlignment="1" applyProtection="1">
      <alignment horizontal="center" vertical="center"/>
      <protection/>
    </xf>
    <xf numFmtId="0" fontId="46" fillId="0" borderId="44" xfId="0" applyNumberFormat="1" applyFont="1" applyFill="1" applyBorder="1" applyAlignment="1" applyProtection="1">
      <alignment horizontal="center" vertical="center"/>
      <protection/>
    </xf>
    <xf numFmtId="0" fontId="46" fillId="0" borderId="33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1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L32" sqref="L32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87" t="s">
        <v>78</v>
      </c>
      <c r="B1" s="88"/>
      <c r="C1" s="88"/>
      <c r="D1" s="88"/>
      <c r="E1" s="88"/>
      <c r="F1" s="88"/>
      <c r="G1" s="88"/>
      <c r="H1" s="88"/>
      <c r="I1" s="88"/>
    </row>
    <row r="2" spans="1:9" ht="15" customHeight="1">
      <c r="A2" s="89" t="s">
        <v>12</v>
      </c>
      <c r="B2" s="90"/>
      <c r="C2" s="98" t="str">
        <f>'Stavební rozpočet'!D2</f>
        <v>Parkoviště Majakovského -Vsakovací objekt a kanalizace</v>
      </c>
      <c r="D2" s="99"/>
      <c r="E2" s="96" t="s">
        <v>215</v>
      </c>
      <c r="F2" s="96" t="str">
        <f>'Stavební rozpočet'!J2</f>
        <v> </v>
      </c>
      <c r="G2" s="90"/>
      <c r="H2" s="96" t="s">
        <v>158</v>
      </c>
      <c r="I2" s="101" t="s">
        <v>171</v>
      </c>
    </row>
    <row r="3" spans="1:9" ht="15" customHeight="1">
      <c r="A3" s="91"/>
      <c r="B3" s="92"/>
      <c r="C3" s="100"/>
      <c r="D3" s="100"/>
      <c r="E3" s="92"/>
      <c r="F3" s="92"/>
      <c r="G3" s="92"/>
      <c r="H3" s="92"/>
      <c r="I3" s="102"/>
    </row>
    <row r="4" spans="1:9" ht="15" customHeight="1">
      <c r="A4" s="93" t="s">
        <v>137</v>
      </c>
      <c r="B4" s="92"/>
      <c r="C4" s="97" t="str">
        <f>'Stavební rozpočet'!D4</f>
        <v> </v>
      </c>
      <c r="D4" s="92"/>
      <c r="E4" s="97" t="s">
        <v>167</v>
      </c>
      <c r="F4" s="97" t="str">
        <f>'Stavební rozpočet'!J4</f>
        <v> </v>
      </c>
      <c r="G4" s="92"/>
      <c r="H4" s="97" t="s">
        <v>158</v>
      </c>
      <c r="I4" s="102" t="s">
        <v>171</v>
      </c>
    </row>
    <row r="5" spans="1:9" ht="15" customHeight="1">
      <c r="A5" s="91"/>
      <c r="B5" s="92"/>
      <c r="C5" s="92"/>
      <c r="D5" s="92"/>
      <c r="E5" s="92"/>
      <c r="F5" s="92"/>
      <c r="G5" s="92"/>
      <c r="H5" s="92"/>
      <c r="I5" s="102"/>
    </row>
    <row r="6" spans="1:9" ht="15" customHeight="1">
      <c r="A6" s="93" t="s">
        <v>20</v>
      </c>
      <c r="B6" s="92"/>
      <c r="C6" s="97" t="str">
        <f>'Stavební rozpočet'!D6</f>
        <v>Karviná</v>
      </c>
      <c r="D6" s="92"/>
      <c r="E6" s="97" t="s">
        <v>228</v>
      </c>
      <c r="F6" s="97" t="str">
        <f>'Stavební rozpočet'!J6</f>
        <v> </v>
      </c>
      <c r="G6" s="92"/>
      <c r="H6" s="97" t="s">
        <v>158</v>
      </c>
      <c r="I6" s="102" t="s">
        <v>171</v>
      </c>
    </row>
    <row r="7" spans="1:9" ht="15" customHeight="1">
      <c r="A7" s="91"/>
      <c r="B7" s="92"/>
      <c r="C7" s="92"/>
      <c r="D7" s="92"/>
      <c r="E7" s="92"/>
      <c r="F7" s="92"/>
      <c r="G7" s="92"/>
      <c r="H7" s="92"/>
      <c r="I7" s="102"/>
    </row>
    <row r="8" spans="1:9" ht="15" customHeight="1">
      <c r="A8" s="93" t="s">
        <v>233</v>
      </c>
      <c r="B8" s="92"/>
      <c r="C8" s="97" t="str">
        <f>'Stavební rozpočet'!H4</f>
        <v>10.02.2023</v>
      </c>
      <c r="D8" s="92"/>
      <c r="E8" s="97" t="s">
        <v>81</v>
      </c>
      <c r="F8" s="97" t="str">
        <f>'Stavební rozpočet'!H6</f>
        <v> </v>
      </c>
      <c r="G8" s="92"/>
      <c r="H8" s="92" t="s">
        <v>262</v>
      </c>
      <c r="I8" s="103">
        <v>37</v>
      </c>
    </row>
    <row r="9" spans="1:9" ht="15" customHeight="1">
      <c r="A9" s="91"/>
      <c r="B9" s="92"/>
      <c r="C9" s="92"/>
      <c r="D9" s="92"/>
      <c r="E9" s="92"/>
      <c r="F9" s="92"/>
      <c r="G9" s="92"/>
      <c r="H9" s="92"/>
      <c r="I9" s="102"/>
    </row>
    <row r="10" spans="1:9" ht="15" customHeight="1">
      <c r="A10" s="93" t="s">
        <v>122</v>
      </c>
      <c r="B10" s="92"/>
      <c r="C10" s="97" t="str">
        <f>'Stavební rozpočet'!D8</f>
        <v> </v>
      </c>
      <c r="D10" s="92"/>
      <c r="E10" s="97" t="s">
        <v>161</v>
      </c>
      <c r="F10" s="97" t="str">
        <f>'Stavební rozpočet'!J8</f>
        <v> </v>
      </c>
      <c r="G10" s="92"/>
      <c r="H10" s="92" t="s">
        <v>250</v>
      </c>
      <c r="I10" s="104" t="str">
        <f>'Stavební rozpočet'!H8</f>
        <v>10.02.2023</v>
      </c>
    </row>
    <row r="11" spans="1:9" ht="15" customHeight="1">
      <c r="A11" s="94"/>
      <c r="B11" s="95"/>
      <c r="C11" s="95"/>
      <c r="D11" s="95"/>
      <c r="E11" s="95"/>
      <c r="F11" s="95"/>
      <c r="G11" s="95"/>
      <c r="H11" s="95"/>
      <c r="I11" s="105"/>
    </row>
    <row r="12" spans="1:9" ht="22.5" customHeight="1">
      <c r="A12" s="106" t="s">
        <v>48</v>
      </c>
      <c r="B12" s="106"/>
      <c r="C12" s="106"/>
      <c r="D12" s="106"/>
      <c r="E12" s="106"/>
      <c r="F12" s="106"/>
      <c r="G12" s="106"/>
      <c r="H12" s="106"/>
      <c r="I12" s="106"/>
    </row>
    <row r="13" spans="1:9" ht="26.25" customHeight="1">
      <c r="A13" s="60" t="s">
        <v>235</v>
      </c>
      <c r="B13" s="107" t="s">
        <v>34</v>
      </c>
      <c r="C13" s="108"/>
      <c r="D13" s="66" t="s">
        <v>51</v>
      </c>
      <c r="E13" s="107" t="s">
        <v>92</v>
      </c>
      <c r="F13" s="108"/>
      <c r="G13" s="66" t="s">
        <v>153</v>
      </c>
      <c r="H13" s="107" t="s">
        <v>52</v>
      </c>
      <c r="I13" s="108"/>
    </row>
    <row r="14" spans="1:9" ht="15" customHeight="1">
      <c r="A14" s="15" t="s">
        <v>96</v>
      </c>
      <c r="B14" s="49" t="s">
        <v>66</v>
      </c>
      <c r="C14" s="12">
        <f>SUM('Stavební rozpočet'!AB12:AB64)</f>
        <v>0</v>
      </c>
      <c r="D14" s="115" t="s">
        <v>180</v>
      </c>
      <c r="E14" s="116"/>
      <c r="F14" s="12">
        <f>VORN!I15</f>
        <v>0</v>
      </c>
      <c r="G14" s="115" t="s">
        <v>28</v>
      </c>
      <c r="H14" s="116"/>
      <c r="I14" s="12">
        <f>VORN!I21</f>
        <v>0</v>
      </c>
    </row>
    <row r="15" spans="1:9" ht="15" customHeight="1">
      <c r="A15" s="73" t="s">
        <v>171</v>
      </c>
      <c r="B15" s="49" t="s">
        <v>53</v>
      </c>
      <c r="C15" s="12">
        <f>SUM('Stavební rozpočet'!AC12:AC64)</f>
        <v>0</v>
      </c>
      <c r="D15" s="115" t="s">
        <v>24</v>
      </c>
      <c r="E15" s="116"/>
      <c r="F15" s="12">
        <f>VORN!I16</f>
        <v>0</v>
      </c>
      <c r="G15" s="115" t="s">
        <v>202</v>
      </c>
      <c r="H15" s="116"/>
      <c r="I15" s="12">
        <f>VORN!I22</f>
        <v>0</v>
      </c>
    </row>
    <row r="16" spans="1:9" ht="15" customHeight="1">
      <c r="A16" s="15" t="s">
        <v>22</v>
      </c>
      <c r="B16" s="49" t="s">
        <v>66</v>
      </c>
      <c r="C16" s="12">
        <f>SUM('Stavební rozpočet'!AD12:AD64)</f>
        <v>0</v>
      </c>
      <c r="D16" s="115" t="s">
        <v>186</v>
      </c>
      <c r="E16" s="116"/>
      <c r="F16" s="12">
        <f>VORN!I17</f>
        <v>0</v>
      </c>
      <c r="G16" s="115" t="s">
        <v>247</v>
      </c>
      <c r="H16" s="116"/>
      <c r="I16" s="12">
        <f>VORN!I23</f>
        <v>0</v>
      </c>
    </row>
    <row r="17" spans="1:9" ht="15" customHeight="1">
      <c r="A17" s="73" t="s">
        <v>171</v>
      </c>
      <c r="B17" s="49" t="s">
        <v>53</v>
      </c>
      <c r="C17" s="12">
        <f>SUM('Stavební rozpočet'!AE12:AE64)</f>
        <v>0</v>
      </c>
      <c r="D17" s="115" t="s">
        <v>171</v>
      </c>
      <c r="E17" s="116"/>
      <c r="F17" s="14" t="s">
        <v>171</v>
      </c>
      <c r="G17" s="115" t="s">
        <v>133</v>
      </c>
      <c r="H17" s="116"/>
      <c r="I17" s="12">
        <f>VORN!I24</f>
        <v>0</v>
      </c>
    </row>
    <row r="18" spans="1:9" ht="15" customHeight="1">
      <c r="A18" s="15" t="s">
        <v>77</v>
      </c>
      <c r="B18" s="49" t="s">
        <v>66</v>
      </c>
      <c r="C18" s="12">
        <f>SUM('Stavební rozpočet'!AF12:AF64)</f>
        <v>0</v>
      </c>
      <c r="D18" s="115" t="s">
        <v>171</v>
      </c>
      <c r="E18" s="116"/>
      <c r="F18" s="14" t="s">
        <v>171</v>
      </c>
      <c r="G18" s="115" t="s">
        <v>159</v>
      </c>
      <c r="H18" s="116"/>
      <c r="I18" s="12">
        <f>VORN!I25</f>
        <v>0</v>
      </c>
    </row>
    <row r="19" spans="1:9" ht="15" customHeight="1">
      <c r="A19" s="73" t="s">
        <v>171</v>
      </c>
      <c r="B19" s="49" t="s">
        <v>53</v>
      </c>
      <c r="C19" s="12">
        <f>SUM('Stavební rozpočet'!AG12:AG64)</f>
        <v>0</v>
      </c>
      <c r="D19" s="115" t="s">
        <v>171</v>
      </c>
      <c r="E19" s="116"/>
      <c r="F19" s="14" t="s">
        <v>171</v>
      </c>
      <c r="G19" s="115" t="s">
        <v>255</v>
      </c>
      <c r="H19" s="116"/>
      <c r="I19" s="12">
        <f>VORN!I26</f>
        <v>0</v>
      </c>
    </row>
    <row r="20" spans="1:9" ht="15" customHeight="1">
      <c r="A20" s="109" t="s">
        <v>13</v>
      </c>
      <c r="B20" s="110"/>
      <c r="C20" s="12">
        <f>SUM('Stavební rozpočet'!AH12:AH64)</f>
        <v>0</v>
      </c>
      <c r="D20" s="115" t="s">
        <v>171</v>
      </c>
      <c r="E20" s="116"/>
      <c r="F20" s="14" t="s">
        <v>171</v>
      </c>
      <c r="G20" s="115" t="s">
        <v>171</v>
      </c>
      <c r="H20" s="116"/>
      <c r="I20" s="14" t="s">
        <v>171</v>
      </c>
    </row>
    <row r="21" spans="1:9" ht="15" customHeight="1">
      <c r="A21" s="111" t="s">
        <v>254</v>
      </c>
      <c r="B21" s="112"/>
      <c r="C21" s="79">
        <f>SUM('Stavební rozpočet'!Z12:Z64)</f>
        <v>0</v>
      </c>
      <c r="D21" s="117" t="s">
        <v>171</v>
      </c>
      <c r="E21" s="118"/>
      <c r="F21" s="54" t="s">
        <v>171</v>
      </c>
      <c r="G21" s="117" t="s">
        <v>171</v>
      </c>
      <c r="H21" s="118"/>
      <c r="I21" s="54" t="s">
        <v>171</v>
      </c>
    </row>
    <row r="22" spans="1:9" ht="16.5" customHeight="1">
      <c r="A22" s="113" t="s">
        <v>55</v>
      </c>
      <c r="B22" s="114"/>
      <c r="C22" s="24">
        <f>SUM(C14:C21)</f>
        <v>0</v>
      </c>
      <c r="D22" s="119" t="s">
        <v>129</v>
      </c>
      <c r="E22" s="114"/>
      <c r="F22" s="24">
        <f>SUM(F14:F21)</f>
        <v>0</v>
      </c>
      <c r="G22" s="119" t="s">
        <v>263</v>
      </c>
      <c r="H22" s="114"/>
      <c r="I22" s="24">
        <f>SUM(I14:I21)</f>
        <v>0</v>
      </c>
    </row>
    <row r="23" spans="4:9" ht="15" customHeight="1">
      <c r="D23" s="109" t="s">
        <v>204</v>
      </c>
      <c r="E23" s="110"/>
      <c r="F23" s="35">
        <v>0</v>
      </c>
      <c r="G23" s="120" t="s">
        <v>10</v>
      </c>
      <c r="H23" s="110"/>
      <c r="I23" s="12">
        <v>0</v>
      </c>
    </row>
    <row r="24" spans="7:9" ht="15" customHeight="1">
      <c r="G24" s="109" t="s">
        <v>168</v>
      </c>
      <c r="H24" s="110"/>
      <c r="I24" s="12">
        <f>vorn_sum</f>
        <v>0</v>
      </c>
    </row>
    <row r="25" spans="7:9" ht="15" customHeight="1">
      <c r="G25" s="109" t="s">
        <v>192</v>
      </c>
      <c r="H25" s="110"/>
      <c r="I25" s="12">
        <v>0</v>
      </c>
    </row>
    <row r="27" spans="1:3" ht="15" customHeight="1">
      <c r="A27" s="121" t="s">
        <v>108</v>
      </c>
      <c r="B27" s="122"/>
      <c r="C27" s="65">
        <f>SUM('Stavební rozpočet'!AJ12:AJ64)</f>
        <v>0</v>
      </c>
    </row>
    <row r="28" spans="1:9" ht="15" customHeight="1">
      <c r="A28" s="123" t="s">
        <v>3</v>
      </c>
      <c r="B28" s="124"/>
      <c r="C28" s="23">
        <f>SUM('Stavební rozpočet'!AK12:AK64)</f>
        <v>0</v>
      </c>
      <c r="D28" s="122" t="s">
        <v>60</v>
      </c>
      <c r="E28" s="122"/>
      <c r="F28" s="65">
        <f>ROUND(C28*(15/100),2)</f>
        <v>0</v>
      </c>
      <c r="G28" s="122" t="s">
        <v>40</v>
      </c>
      <c r="H28" s="122"/>
      <c r="I28" s="65">
        <f>SUM(C27:C29)</f>
        <v>0</v>
      </c>
    </row>
    <row r="29" spans="1:9" ht="15" customHeight="1">
      <c r="A29" s="123" t="s">
        <v>6</v>
      </c>
      <c r="B29" s="124"/>
      <c r="C29" s="23">
        <f>SUM('Stavební rozpočet'!AL12:AL64)+(F22+I22+F23+I23+I24+I25)</f>
        <v>0</v>
      </c>
      <c r="D29" s="124" t="s">
        <v>188</v>
      </c>
      <c r="E29" s="124"/>
      <c r="F29" s="23">
        <f>ROUND(C29*(21/100),2)</f>
        <v>0</v>
      </c>
      <c r="G29" s="124" t="s">
        <v>105</v>
      </c>
      <c r="H29" s="124"/>
      <c r="I29" s="23">
        <f>SUM(F28:F29)+I28</f>
        <v>0</v>
      </c>
    </row>
    <row r="31" spans="1:9" ht="15" customHeight="1">
      <c r="A31" s="131" t="s">
        <v>2</v>
      </c>
      <c r="B31" s="128"/>
      <c r="C31" s="129"/>
      <c r="D31" s="128" t="s">
        <v>243</v>
      </c>
      <c r="E31" s="128"/>
      <c r="F31" s="129"/>
      <c r="G31" s="128" t="s">
        <v>164</v>
      </c>
      <c r="H31" s="128"/>
      <c r="I31" s="129"/>
    </row>
    <row r="32" spans="1:9" ht="15" customHeight="1">
      <c r="A32" s="132" t="s">
        <v>171</v>
      </c>
      <c r="B32" s="117"/>
      <c r="C32" s="130"/>
      <c r="D32" s="117" t="s">
        <v>171</v>
      </c>
      <c r="E32" s="117"/>
      <c r="F32" s="130"/>
      <c r="G32" s="117" t="s">
        <v>171</v>
      </c>
      <c r="H32" s="117"/>
      <c r="I32" s="130"/>
    </row>
    <row r="33" spans="1:9" ht="15" customHeight="1">
      <c r="A33" s="132" t="s">
        <v>171</v>
      </c>
      <c r="B33" s="117"/>
      <c r="C33" s="130"/>
      <c r="D33" s="117" t="s">
        <v>171</v>
      </c>
      <c r="E33" s="117"/>
      <c r="F33" s="130"/>
      <c r="G33" s="117" t="s">
        <v>171</v>
      </c>
      <c r="H33" s="117"/>
      <c r="I33" s="130"/>
    </row>
    <row r="34" spans="1:9" ht="15" customHeight="1">
      <c r="A34" s="132" t="s">
        <v>171</v>
      </c>
      <c r="B34" s="117"/>
      <c r="C34" s="130"/>
      <c r="D34" s="117" t="s">
        <v>171</v>
      </c>
      <c r="E34" s="117"/>
      <c r="F34" s="130"/>
      <c r="G34" s="117" t="s">
        <v>171</v>
      </c>
      <c r="H34" s="117"/>
      <c r="I34" s="130"/>
    </row>
    <row r="35" spans="1:9" ht="15" customHeight="1">
      <c r="A35" s="125" t="s">
        <v>54</v>
      </c>
      <c r="B35" s="126"/>
      <c r="C35" s="127"/>
      <c r="D35" s="126" t="s">
        <v>54</v>
      </c>
      <c r="E35" s="126"/>
      <c r="F35" s="127"/>
      <c r="G35" s="126" t="s">
        <v>54</v>
      </c>
      <c r="H35" s="126"/>
      <c r="I35" s="127"/>
    </row>
    <row r="36" ht="15" customHeight="1">
      <c r="A36" s="10" t="s">
        <v>19</v>
      </c>
    </row>
    <row r="37" spans="1:9" ht="12.75" customHeight="1">
      <c r="A37" s="97" t="s">
        <v>171</v>
      </c>
      <c r="B37" s="92"/>
      <c r="C37" s="92"/>
      <c r="D37" s="92"/>
      <c r="E37" s="92"/>
      <c r="F37" s="92"/>
      <c r="G37" s="92"/>
      <c r="H37" s="92"/>
      <c r="I37" s="92"/>
    </row>
  </sheetData>
  <sheetProtection password="E9AE" sheet="1"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OutlineSymbols="0" zoomScalePageLayoutView="0" workbookViewId="0" topLeftCell="A1">
      <selection activeCell="C51" sqref="C51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87" t="s">
        <v>41</v>
      </c>
      <c r="B1" s="88"/>
      <c r="C1" s="88"/>
      <c r="D1" s="88"/>
      <c r="E1" s="88"/>
      <c r="F1" s="88"/>
      <c r="G1" s="88"/>
      <c r="H1" s="88"/>
      <c r="I1" s="88"/>
    </row>
    <row r="2" spans="1:9" ht="15" customHeight="1">
      <c r="A2" s="89" t="s">
        <v>12</v>
      </c>
      <c r="B2" s="90"/>
      <c r="C2" s="98" t="str">
        <f>'Stavební rozpočet'!D2</f>
        <v>Parkoviště Majakovského -Vsakovací objekt a kanalizace</v>
      </c>
      <c r="D2" s="99"/>
      <c r="E2" s="96" t="s">
        <v>215</v>
      </c>
      <c r="F2" s="96" t="str">
        <f>'Stavební rozpočet'!J2</f>
        <v> </v>
      </c>
      <c r="G2" s="90"/>
      <c r="H2" s="96" t="s">
        <v>158</v>
      </c>
      <c r="I2" s="101" t="s">
        <v>171</v>
      </c>
    </row>
    <row r="3" spans="1:9" ht="15" customHeight="1">
      <c r="A3" s="91"/>
      <c r="B3" s="92"/>
      <c r="C3" s="100"/>
      <c r="D3" s="100"/>
      <c r="E3" s="92"/>
      <c r="F3" s="92"/>
      <c r="G3" s="92"/>
      <c r="H3" s="92"/>
      <c r="I3" s="102"/>
    </row>
    <row r="4" spans="1:9" ht="15" customHeight="1">
      <c r="A4" s="93" t="s">
        <v>137</v>
      </c>
      <c r="B4" s="92"/>
      <c r="C4" s="97" t="str">
        <f>'Stavební rozpočet'!D4</f>
        <v> </v>
      </c>
      <c r="D4" s="92"/>
      <c r="E4" s="97" t="s">
        <v>167</v>
      </c>
      <c r="F4" s="97" t="str">
        <f>'Stavební rozpočet'!J4</f>
        <v> </v>
      </c>
      <c r="G4" s="92"/>
      <c r="H4" s="97" t="s">
        <v>158</v>
      </c>
      <c r="I4" s="102" t="s">
        <v>171</v>
      </c>
    </row>
    <row r="5" spans="1:9" ht="15" customHeight="1">
      <c r="A5" s="91"/>
      <c r="B5" s="92"/>
      <c r="C5" s="92"/>
      <c r="D5" s="92"/>
      <c r="E5" s="92"/>
      <c r="F5" s="92"/>
      <c r="G5" s="92"/>
      <c r="H5" s="92"/>
      <c r="I5" s="102"/>
    </row>
    <row r="6" spans="1:9" ht="15" customHeight="1">
      <c r="A6" s="93" t="s">
        <v>20</v>
      </c>
      <c r="B6" s="92"/>
      <c r="C6" s="97" t="str">
        <f>'Stavební rozpočet'!D6</f>
        <v>Karviná</v>
      </c>
      <c r="D6" s="92"/>
      <c r="E6" s="97" t="s">
        <v>228</v>
      </c>
      <c r="F6" s="97" t="str">
        <f>'Stavební rozpočet'!J6</f>
        <v> </v>
      </c>
      <c r="G6" s="92"/>
      <c r="H6" s="97" t="s">
        <v>158</v>
      </c>
      <c r="I6" s="102" t="s">
        <v>171</v>
      </c>
    </row>
    <row r="7" spans="1:9" ht="15" customHeight="1">
      <c r="A7" s="91"/>
      <c r="B7" s="92"/>
      <c r="C7" s="92"/>
      <c r="D7" s="92"/>
      <c r="E7" s="92"/>
      <c r="F7" s="92"/>
      <c r="G7" s="92"/>
      <c r="H7" s="92"/>
      <c r="I7" s="102"/>
    </row>
    <row r="8" spans="1:9" ht="15" customHeight="1">
      <c r="A8" s="93" t="s">
        <v>233</v>
      </c>
      <c r="B8" s="92"/>
      <c r="C8" s="97" t="str">
        <f>'Stavební rozpočet'!H4</f>
        <v>10.02.2023</v>
      </c>
      <c r="D8" s="92"/>
      <c r="E8" s="97" t="s">
        <v>81</v>
      </c>
      <c r="F8" s="97" t="str">
        <f>'Stavební rozpočet'!H6</f>
        <v> </v>
      </c>
      <c r="G8" s="92"/>
      <c r="H8" s="92" t="s">
        <v>262</v>
      </c>
      <c r="I8" s="103">
        <v>37</v>
      </c>
    </row>
    <row r="9" spans="1:9" ht="15" customHeight="1">
      <c r="A9" s="91"/>
      <c r="B9" s="92"/>
      <c r="C9" s="92"/>
      <c r="D9" s="92"/>
      <c r="E9" s="92"/>
      <c r="F9" s="92"/>
      <c r="G9" s="92"/>
      <c r="H9" s="92"/>
      <c r="I9" s="102"/>
    </row>
    <row r="10" spans="1:9" ht="15" customHeight="1">
      <c r="A10" s="93" t="s">
        <v>122</v>
      </c>
      <c r="B10" s="92"/>
      <c r="C10" s="97" t="str">
        <f>'Stavební rozpočet'!D8</f>
        <v> </v>
      </c>
      <c r="D10" s="92"/>
      <c r="E10" s="97" t="s">
        <v>161</v>
      </c>
      <c r="F10" s="97" t="str">
        <f>'Stavební rozpočet'!J8</f>
        <v> </v>
      </c>
      <c r="G10" s="92"/>
      <c r="H10" s="92" t="s">
        <v>250</v>
      </c>
      <c r="I10" s="104" t="str">
        <f>'Stavební rozpočet'!H8</f>
        <v>10.02.2023</v>
      </c>
    </row>
    <row r="11" spans="1:9" ht="15" customHeight="1">
      <c r="A11" s="94"/>
      <c r="B11" s="95"/>
      <c r="C11" s="95"/>
      <c r="D11" s="95"/>
      <c r="E11" s="95"/>
      <c r="F11" s="95"/>
      <c r="G11" s="95"/>
      <c r="H11" s="95"/>
      <c r="I11" s="105"/>
    </row>
    <row r="13" spans="1:5" ht="21.75" customHeight="1">
      <c r="A13" s="133" t="s">
        <v>97</v>
      </c>
      <c r="B13" s="133"/>
      <c r="C13" s="133"/>
      <c r="D13" s="133"/>
      <c r="E13" s="133"/>
    </row>
    <row r="14" spans="1:9" ht="15" customHeight="1" hidden="1">
      <c r="A14" s="134" t="s">
        <v>290</v>
      </c>
      <c r="B14" s="135"/>
      <c r="C14" s="135"/>
      <c r="D14" s="135"/>
      <c r="E14" s="136"/>
      <c r="F14" s="80" t="s">
        <v>271</v>
      </c>
      <c r="G14" s="80" t="s">
        <v>229</v>
      </c>
      <c r="H14" s="80" t="s">
        <v>63</v>
      </c>
      <c r="I14" s="80" t="s">
        <v>271</v>
      </c>
    </row>
    <row r="15" spans="1:9" ht="15" customHeight="1" hidden="1">
      <c r="A15" s="94" t="s">
        <v>180</v>
      </c>
      <c r="B15" s="95"/>
      <c r="C15" s="95"/>
      <c r="D15" s="95"/>
      <c r="E15" s="105"/>
      <c r="F15" s="11">
        <v>0</v>
      </c>
      <c r="G15" s="39" t="s">
        <v>171</v>
      </c>
      <c r="H15" s="39" t="s">
        <v>171</v>
      </c>
      <c r="I15" s="11">
        <f>F15</f>
        <v>0</v>
      </c>
    </row>
    <row r="16" spans="1:9" ht="15" customHeight="1" hidden="1">
      <c r="A16" s="94" t="s">
        <v>24</v>
      </c>
      <c r="B16" s="95"/>
      <c r="C16" s="95"/>
      <c r="D16" s="95"/>
      <c r="E16" s="105"/>
      <c r="F16" s="11">
        <v>0</v>
      </c>
      <c r="G16" s="39" t="s">
        <v>171</v>
      </c>
      <c r="H16" s="39" t="s">
        <v>171</v>
      </c>
      <c r="I16" s="11">
        <f>F16</f>
        <v>0</v>
      </c>
    </row>
    <row r="17" spans="1:9" ht="15" customHeight="1" hidden="1">
      <c r="A17" s="91" t="s">
        <v>186</v>
      </c>
      <c r="B17" s="92"/>
      <c r="C17" s="92"/>
      <c r="D17" s="92"/>
      <c r="E17" s="102"/>
      <c r="F17" s="5">
        <v>0</v>
      </c>
      <c r="G17" s="38" t="s">
        <v>171</v>
      </c>
      <c r="H17" s="38" t="s">
        <v>171</v>
      </c>
      <c r="I17" s="5">
        <f>F17</f>
        <v>0</v>
      </c>
    </row>
    <row r="18" spans="1:9" ht="15" customHeight="1" hidden="1">
      <c r="A18" s="137" t="s">
        <v>280</v>
      </c>
      <c r="B18" s="138"/>
      <c r="C18" s="138"/>
      <c r="D18" s="138"/>
      <c r="E18" s="139"/>
      <c r="F18" s="7" t="s">
        <v>171</v>
      </c>
      <c r="G18" s="61" t="s">
        <v>171</v>
      </c>
      <c r="H18" s="61" t="s">
        <v>171</v>
      </c>
      <c r="I18" s="52">
        <f>SUM(I15:I17)</f>
        <v>0</v>
      </c>
    </row>
    <row r="20" spans="1:9" ht="15" customHeight="1">
      <c r="A20" s="134" t="s">
        <v>52</v>
      </c>
      <c r="B20" s="135"/>
      <c r="C20" s="135"/>
      <c r="D20" s="135"/>
      <c r="E20" s="136"/>
      <c r="F20" s="80" t="s">
        <v>271</v>
      </c>
      <c r="G20" s="80" t="s">
        <v>229</v>
      </c>
      <c r="H20" s="80" t="s">
        <v>63</v>
      </c>
      <c r="I20" s="80" t="s">
        <v>271</v>
      </c>
    </row>
    <row r="21" spans="1:9" ht="15" customHeight="1">
      <c r="A21" s="94" t="s">
        <v>28</v>
      </c>
      <c r="B21" s="95"/>
      <c r="C21" s="95"/>
      <c r="D21" s="95"/>
      <c r="E21" s="105"/>
      <c r="F21" s="86"/>
      <c r="G21" s="39" t="s">
        <v>171</v>
      </c>
      <c r="H21" s="39" t="s">
        <v>171</v>
      </c>
      <c r="I21" s="11">
        <f aca="true" t="shared" si="0" ref="I21:I26">F21</f>
        <v>0</v>
      </c>
    </row>
    <row r="22" spans="1:9" ht="15" customHeight="1" hidden="1">
      <c r="A22" s="94" t="s">
        <v>202</v>
      </c>
      <c r="B22" s="95"/>
      <c r="C22" s="95"/>
      <c r="D22" s="95"/>
      <c r="E22" s="105"/>
      <c r="F22" s="86">
        <v>0</v>
      </c>
      <c r="G22" s="39" t="s">
        <v>171</v>
      </c>
      <c r="H22" s="39" t="s">
        <v>171</v>
      </c>
      <c r="I22" s="11">
        <f t="shared" si="0"/>
        <v>0</v>
      </c>
    </row>
    <row r="23" spans="1:9" ht="15" customHeight="1">
      <c r="A23" s="94" t="s">
        <v>247</v>
      </c>
      <c r="B23" s="95"/>
      <c r="C23" s="95"/>
      <c r="D23" s="95"/>
      <c r="E23" s="105"/>
      <c r="F23" s="86"/>
      <c r="G23" s="39" t="s">
        <v>171</v>
      </c>
      <c r="H23" s="39" t="s">
        <v>171</v>
      </c>
      <c r="I23" s="11">
        <f t="shared" si="0"/>
        <v>0</v>
      </c>
    </row>
    <row r="24" spans="1:9" ht="15" customHeight="1">
      <c r="A24" s="94" t="s">
        <v>133</v>
      </c>
      <c r="B24" s="95"/>
      <c r="C24" s="95"/>
      <c r="D24" s="95"/>
      <c r="E24" s="105"/>
      <c r="F24" s="86"/>
      <c r="G24" s="39" t="s">
        <v>171</v>
      </c>
      <c r="H24" s="39" t="s">
        <v>171</v>
      </c>
      <c r="I24" s="11">
        <f t="shared" si="0"/>
        <v>0</v>
      </c>
    </row>
    <row r="25" spans="1:9" ht="15" customHeight="1" hidden="1">
      <c r="A25" s="94" t="s">
        <v>159</v>
      </c>
      <c r="B25" s="95"/>
      <c r="C25" s="95"/>
      <c r="D25" s="95"/>
      <c r="E25" s="105"/>
      <c r="F25" s="11">
        <v>0</v>
      </c>
      <c r="G25" s="39" t="s">
        <v>171</v>
      </c>
      <c r="H25" s="39" t="s">
        <v>171</v>
      </c>
      <c r="I25" s="11">
        <f t="shared" si="0"/>
        <v>0</v>
      </c>
    </row>
    <row r="26" spans="1:9" ht="15" customHeight="1" hidden="1">
      <c r="A26" s="91" t="s">
        <v>255</v>
      </c>
      <c r="B26" s="92"/>
      <c r="C26" s="92"/>
      <c r="D26" s="92"/>
      <c r="E26" s="102"/>
      <c r="F26" s="5">
        <v>0</v>
      </c>
      <c r="G26" s="38" t="s">
        <v>171</v>
      </c>
      <c r="H26" s="38" t="s">
        <v>171</v>
      </c>
      <c r="I26" s="5">
        <f t="shared" si="0"/>
        <v>0</v>
      </c>
    </row>
    <row r="27" spans="1:9" ht="15" customHeight="1">
      <c r="A27" s="137" t="s">
        <v>106</v>
      </c>
      <c r="B27" s="138"/>
      <c r="C27" s="138"/>
      <c r="D27" s="138"/>
      <c r="E27" s="139"/>
      <c r="F27" s="7" t="s">
        <v>171</v>
      </c>
      <c r="G27" s="61" t="s">
        <v>171</v>
      </c>
      <c r="H27" s="61" t="s">
        <v>171</v>
      </c>
      <c r="I27" s="52">
        <f>SUM(I21:I26)</f>
        <v>0</v>
      </c>
    </row>
    <row r="29" spans="1:9" ht="15.75" customHeight="1">
      <c r="A29" s="140" t="s">
        <v>276</v>
      </c>
      <c r="B29" s="141"/>
      <c r="C29" s="141"/>
      <c r="D29" s="141"/>
      <c r="E29" s="142"/>
      <c r="F29" s="143">
        <f>I18+I27</f>
        <v>0</v>
      </c>
      <c r="G29" s="144"/>
      <c r="H29" s="144"/>
      <c r="I29" s="145"/>
    </row>
    <row r="33" spans="1:5" ht="15.75" customHeight="1">
      <c r="A33" s="133" t="s">
        <v>268</v>
      </c>
      <c r="B33" s="133"/>
      <c r="C33" s="133"/>
      <c r="D33" s="133"/>
      <c r="E33" s="133"/>
    </row>
    <row r="34" spans="1:9" ht="15" customHeight="1">
      <c r="A34" s="134" t="s">
        <v>279</v>
      </c>
      <c r="B34" s="135"/>
      <c r="C34" s="135"/>
      <c r="D34" s="135"/>
      <c r="E34" s="136"/>
      <c r="F34" s="80" t="s">
        <v>271</v>
      </c>
      <c r="G34" s="80" t="s">
        <v>229</v>
      </c>
      <c r="H34" s="80" t="s">
        <v>63</v>
      </c>
      <c r="I34" s="80" t="s">
        <v>271</v>
      </c>
    </row>
    <row r="35" spans="1:9" ht="15" customHeight="1">
      <c r="A35" s="94" t="s">
        <v>296</v>
      </c>
      <c r="B35" s="95"/>
      <c r="C35" s="95"/>
      <c r="D35" s="95"/>
      <c r="E35" s="105"/>
      <c r="F35" s="86"/>
      <c r="G35" s="39" t="s">
        <v>171</v>
      </c>
      <c r="H35" s="39" t="s">
        <v>171</v>
      </c>
      <c r="I35" s="11">
        <f aca="true" t="shared" si="1" ref="I35:I44">F35</f>
        <v>0</v>
      </c>
    </row>
    <row r="36" spans="1:9" ht="15" customHeight="1">
      <c r="A36" s="94" t="s">
        <v>297</v>
      </c>
      <c r="B36" s="95"/>
      <c r="C36" s="95"/>
      <c r="D36" s="95"/>
      <c r="E36" s="105"/>
      <c r="F36" s="86"/>
      <c r="G36" s="39" t="s">
        <v>171</v>
      </c>
      <c r="H36" s="39" t="s">
        <v>171</v>
      </c>
      <c r="I36" s="11">
        <f t="shared" si="1"/>
        <v>0</v>
      </c>
    </row>
    <row r="37" spans="1:9" ht="15" customHeight="1">
      <c r="A37" s="94" t="s">
        <v>298</v>
      </c>
      <c r="B37" s="95"/>
      <c r="C37" s="95"/>
      <c r="D37" s="95"/>
      <c r="E37" s="105"/>
      <c r="F37" s="86"/>
      <c r="G37" s="39" t="s">
        <v>171</v>
      </c>
      <c r="H37" s="39" t="s">
        <v>171</v>
      </c>
      <c r="I37" s="11">
        <f t="shared" si="1"/>
        <v>0</v>
      </c>
    </row>
    <row r="38" spans="1:9" ht="15" customHeight="1">
      <c r="A38" s="91" t="s">
        <v>299</v>
      </c>
      <c r="B38" s="92"/>
      <c r="C38" s="92"/>
      <c r="D38" s="92"/>
      <c r="E38" s="102"/>
      <c r="F38" s="86"/>
      <c r="G38" s="39" t="s">
        <v>171</v>
      </c>
      <c r="H38" s="39" t="s">
        <v>171</v>
      </c>
      <c r="I38" s="11">
        <f t="shared" si="1"/>
        <v>0</v>
      </c>
    </row>
    <row r="39" spans="1:9" ht="15" customHeight="1">
      <c r="A39" s="94" t="s">
        <v>159</v>
      </c>
      <c r="B39" s="95"/>
      <c r="C39" s="95"/>
      <c r="D39" s="95"/>
      <c r="E39" s="105"/>
      <c r="F39" s="86"/>
      <c r="G39" s="39" t="s">
        <v>171</v>
      </c>
      <c r="H39" s="39" t="s">
        <v>171</v>
      </c>
      <c r="I39" s="11">
        <f t="shared" si="1"/>
        <v>0</v>
      </c>
    </row>
    <row r="40" spans="1:9" ht="15" customHeight="1" hidden="1">
      <c r="A40" s="94" t="s">
        <v>134</v>
      </c>
      <c r="B40" s="95"/>
      <c r="C40" s="95"/>
      <c r="D40" s="95"/>
      <c r="E40" s="105"/>
      <c r="F40" s="11">
        <v>0</v>
      </c>
      <c r="G40" s="39" t="s">
        <v>171</v>
      </c>
      <c r="H40" s="39" t="s">
        <v>171</v>
      </c>
      <c r="I40" s="11">
        <f t="shared" si="1"/>
        <v>0</v>
      </c>
    </row>
    <row r="41" spans="1:9" ht="15" customHeight="1" hidden="1">
      <c r="A41" s="94" t="s">
        <v>47</v>
      </c>
      <c r="B41" s="95"/>
      <c r="C41" s="95"/>
      <c r="D41" s="95"/>
      <c r="E41" s="105"/>
      <c r="F41" s="11">
        <v>0</v>
      </c>
      <c r="G41" s="39" t="s">
        <v>171</v>
      </c>
      <c r="H41" s="39" t="s">
        <v>171</v>
      </c>
      <c r="I41" s="11">
        <f t="shared" si="1"/>
        <v>0</v>
      </c>
    </row>
    <row r="42" spans="1:9" ht="15" customHeight="1" hidden="1">
      <c r="A42" s="94" t="s">
        <v>257</v>
      </c>
      <c r="B42" s="95"/>
      <c r="C42" s="95"/>
      <c r="D42" s="95"/>
      <c r="E42" s="105"/>
      <c r="F42" s="11">
        <v>0</v>
      </c>
      <c r="G42" s="39" t="s">
        <v>171</v>
      </c>
      <c r="H42" s="39" t="s">
        <v>171</v>
      </c>
      <c r="I42" s="11">
        <f t="shared" si="1"/>
        <v>0</v>
      </c>
    </row>
    <row r="43" spans="1:9" ht="15" customHeight="1" hidden="1">
      <c r="A43" s="94" t="s">
        <v>198</v>
      </c>
      <c r="B43" s="95"/>
      <c r="C43" s="95"/>
      <c r="D43" s="95"/>
      <c r="E43" s="105"/>
      <c r="F43" s="11">
        <v>0</v>
      </c>
      <c r="G43" s="39" t="s">
        <v>171</v>
      </c>
      <c r="H43" s="39" t="s">
        <v>171</v>
      </c>
      <c r="I43" s="11">
        <f t="shared" si="1"/>
        <v>0</v>
      </c>
    </row>
    <row r="44" spans="1:9" ht="15" customHeight="1" hidden="1">
      <c r="A44" s="91" t="s">
        <v>99</v>
      </c>
      <c r="B44" s="92"/>
      <c r="C44" s="92"/>
      <c r="D44" s="92"/>
      <c r="E44" s="102"/>
      <c r="F44" s="5">
        <v>0</v>
      </c>
      <c r="G44" s="38" t="s">
        <v>171</v>
      </c>
      <c r="H44" s="38" t="s">
        <v>171</v>
      </c>
      <c r="I44" s="5">
        <f t="shared" si="1"/>
        <v>0</v>
      </c>
    </row>
    <row r="45" spans="1:9" ht="15" customHeight="1">
      <c r="A45" s="137" t="s">
        <v>91</v>
      </c>
      <c r="B45" s="138"/>
      <c r="C45" s="138"/>
      <c r="D45" s="138"/>
      <c r="E45" s="139"/>
      <c r="F45" s="7" t="s">
        <v>171</v>
      </c>
      <c r="G45" s="61" t="s">
        <v>171</v>
      </c>
      <c r="H45" s="61" t="s">
        <v>171</v>
      </c>
      <c r="I45" s="52">
        <f>SUM(I35:I44)</f>
        <v>0</v>
      </c>
    </row>
  </sheetData>
  <sheetProtection password="E9AE" sheet="1"/>
  <mergeCells count="60">
    <mergeCell ref="A43:E43"/>
    <mergeCell ref="A44:E44"/>
    <mergeCell ref="A45:E45"/>
    <mergeCell ref="A36:E36"/>
    <mergeCell ref="A37:E37"/>
    <mergeCell ref="A38:E38"/>
    <mergeCell ref="A39:E39"/>
    <mergeCell ref="A40:E40"/>
    <mergeCell ref="A41:E41"/>
    <mergeCell ref="A29:E29"/>
    <mergeCell ref="F29:I29"/>
    <mergeCell ref="A33:E33"/>
    <mergeCell ref="A34:E34"/>
    <mergeCell ref="A35:E35"/>
    <mergeCell ref="A42:E42"/>
    <mergeCell ref="A22:E22"/>
    <mergeCell ref="A23:E23"/>
    <mergeCell ref="A24:E24"/>
    <mergeCell ref="A25:E25"/>
    <mergeCell ref="A26:E26"/>
    <mergeCell ref="A27:E27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F10:G11"/>
    <mergeCell ref="E10:E11"/>
    <mergeCell ref="I2:I3"/>
    <mergeCell ref="I4:I5"/>
    <mergeCell ref="I6:I7"/>
    <mergeCell ref="I8:I9"/>
    <mergeCell ref="I10:I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OutlineSymbols="0" zoomScalePageLayoutView="0" workbookViewId="0" topLeftCell="A1">
      <pane ySplit="11" topLeftCell="A12" activePane="bottomLeft" state="frozen"/>
      <selection pane="topLeft" activeCell="G8" sqref="G8:G9"/>
      <selection pane="bottomLeft" activeCell="D24" sqref="D24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6" width="32.5" style="0" customWidth="1"/>
    <col min="7" max="7" width="43.33203125" style="0" customWidth="1"/>
    <col min="8" max="9" width="0" style="0" hidden="1" customWidth="1"/>
  </cols>
  <sheetData>
    <row r="1" spans="1:7" ht="54.75" customHeight="1">
      <c r="A1" s="88" t="s">
        <v>117</v>
      </c>
      <c r="B1" s="88"/>
      <c r="C1" s="88"/>
      <c r="D1" s="88"/>
      <c r="E1" s="88"/>
      <c r="F1" s="88"/>
      <c r="G1" s="88"/>
    </row>
    <row r="2" spans="1:7" ht="15" customHeight="1">
      <c r="A2" s="89" t="s">
        <v>12</v>
      </c>
      <c r="B2" s="90"/>
      <c r="C2" s="98" t="str">
        <f>'Stavební rozpočet'!D2</f>
        <v>Parkoviště Majakovského -Vsakovací objekt a kanalizace</v>
      </c>
      <c r="D2" s="90" t="s">
        <v>0</v>
      </c>
      <c r="E2" s="90" t="s">
        <v>239</v>
      </c>
      <c r="F2" s="96" t="s">
        <v>215</v>
      </c>
      <c r="G2" s="146" t="str">
        <f>'Stavební rozpočet'!J2</f>
        <v> </v>
      </c>
    </row>
    <row r="3" spans="1:7" ht="15" customHeight="1">
      <c r="A3" s="91"/>
      <c r="B3" s="92"/>
      <c r="C3" s="100"/>
      <c r="D3" s="92"/>
      <c r="E3" s="92"/>
      <c r="F3" s="92"/>
      <c r="G3" s="102"/>
    </row>
    <row r="4" spans="1:7" ht="15" customHeight="1">
      <c r="A4" s="93" t="s">
        <v>137</v>
      </c>
      <c r="B4" s="92"/>
      <c r="C4" s="97" t="str">
        <f>'Stavební rozpočet'!D4</f>
        <v> </v>
      </c>
      <c r="D4" s="92" t="s">
        <v>233</v>
      </c>
      <c r="E4" s="92" t="s">
        <v>242</v>
      </c>
      <c r="F4" s="97" t="s">
        <v>167</v>
      </c>
      <c r="G4" s="104" t="str">
        <f>'Stavební rozpočet'!J4</f>
        <v> </v>
      </c>
    </row>
    <row r="5" spans="1:7" ht="15" customHeight="1">
      <c r="A5" s="91"/>
      <c r="B5" s="92"/>
      <c r="C5" s="92"/>
      <c r="D5" s="92"/>
      <c r="E5" s="92"/>
      <c r="F5" s="92"/>
      <c r="G5" s="102"/>
    </row>
    <row r="6" spans="1:7" ht="15" customHeight="1">
      <c r="A6" s="93" t="s">
        <v>20</v>
      </c>
      <c r="B6" s="92"/>
      <c r="C6" s="97" t="str">
        <f>'Stavební rozpočet'!D6</f>
        <v>Karviná</v>
      </c>
      <c r="D6" s="92" t="s">
        <v>81</v>
      </c>
      <c r="E6" s="92" t="s">
        <v>239</v>
      </c>
      <c r="F6" s="97" t="s">
        <v>228</v>
      </c>
      <c r="G6" s="104" t="str">
        <f>'Stavební rozpočet'!J6</f>
        <v> </v>
      </c>
    </row>
    <row r="7" spans="1:7" ht="15" customHeight="1">
      <c r="A7" s="91"/>
      <c r="B7" s="92"/>
      <c r="C7" s="92"/>
      <c r="D7" s="92"/>
      <c r="E7" s="92"/>
      <c r="F7" s="92"/>
      <c r="G7" s="102"/>
    </row>
    <row r="8" spans="1:7" ht="15" customHeight="1">
      <c r="A8" s="93" t="s">
        <v>161</v>
      </c>
      <c r="B8" s="92"/>
      <c r="C8" s="97" t="str">
        <f>'Stavební rozpočet'!J8</f>
        <v> </v>
      </c>
      <c r="D8" s="92" t="s">
        <v>139</v>
      </c>
      <c r="E8" s="92" t="s">
        <v>242</v>
      </c>
      <c r="F8" s="92" t="s">
        <v>139</v>
      </c>
      <c r="G8" s="104" t="str">
        <f>'Stavební rozpočet'!H8</f>
        <v>10.02.2023</v>
      </c>
    </row>
    <row r="9" spans="1:7" ht="15" customHeight="1">
      <c r="A9" s="91"/>
      <c r="B9" s="92"/>
      <c r="C9" s="92"/>
      <c r="D9" s="92"/>
      <c r="E9" s="92"/>
      <c r="F9" s="92"/>
      <c r="G9" s="102"/>
    </row>
    <row r="10" spans="1:7" ht="15" customHeight="1">
      <c r="A10" s="55" t="s">
        <v>187</v>
      </c>
      <c r="B10" s="51" t="s">
        <v>83</v>
      </c>
      <c r="C10" s="27" t="s">
        <v>282</v>
      </c>
      <c r="D10" s="20" t="s">
        <v>124</v>
      </c>
      <c r="E10" s="20" t="s">
        <v>294</v>
      </c>
      <c r="F10" s="20" t="s">
        <v>11</v>
      </c>
      <c r="G10" s="45" t="s">
        <v>111</v>
      </c>
    </row>
    <row r="11" spans="1:9" ht="15" customHeight="1">
      <c r="A11" s="34" t="s">
        <v>171</v>
      </c>
      <c r="B11" s="4" t="s">
        <v>76</v>
      </c>
      <c r="C11" s="4" t="s">
        <v>1</v>
      </c>
      <c r="D11" s="67">
        <f>'Stavební rozpočet'!I12</f>
        <v>0</v>
      </c>
      <c r="E11" s="67">
        <f>'Stavební rozpočet'!J12</f>
        <v>0</v>
      </c>
      <c r="F11" s="67">
        <f>'Stavební rozpočet'!K12</f>
        <v>0</v>
      </c>
      <c r="G11" s="5">
        <f>'Stavební rozpočet'!M12</f>
        <v>666.4544000000001</v>
      </c>
      <c r="H11" s="30" t="s">
        <v>249</v>
      </c>
      <c r="I11" s="67">
        <f aca="true" t="shared" si="0" ref="I11:I19">IF(H11="F",0,F11)</f>
        <v>0</v>
      </c>
    </row>
    <row r="12" spans="1:9" ht="15" customHeight="1">
      <c r="A12" s="34" t="s">
        <v>171</v>
      </c>
      <c r="B12" s="4" t="s">
        <v>21</v>
      </c>
      <c r="C12" s="4" t="s">
        <v>210</v>
      </c>
      <c r="D12" s="67">
        <f>'Stavební rozpočet'!I19</f>
        <v>0</v>
      </c>
      <c r="E12" s="67">
        <f>'Stavební rozpočet'!J19</f>
        <v>0</v>
      </c>
      <c r="F12" s="67">
        <f>'Stavební rozpočet'!K19</f>
        <v>0</v>
      </c>
      <c r="G12" s="5">
        <f>'Stavební rozpočet'!M19</f>
        <v>0</v>
      </c>
      <c r="H12" s="30" t="s">
        <v>249</v>
      </c>
      <c r="I12" s="67">
        <f t="shared" si="0"/>
        <v>0</v>
      </c>
    </row>
    <row r="13" spans="1:9" ht="15" customHeight="1">
      <c r="A13" s="34" t="s">
        <v>171</v>
      </c>
      <c r="B13" s="4" t="s">
        <v>172</v>
      </c>
      <c r="C13" s="4" t="s">
        <v>39</v>
      </c>
      <c r="D13" s="67">
        <f>'Stavební rozpočet'!I24</f>
        <v>0</v>
      </c>
      <c r="E13" s="67">
        <f>'Stavební rozpočet'!J24</f>
        <v>0</v>
      </c>
      <c r="F13" s="67">
        <f>'Stavební rozpočet'!K24</f>
        <v>0</v>
      </c>
      <c r="G13" s="5">
        <f>'Stavební rozpočet'!M24</f>
        <v>609.7121999999999</v>
      </c>
      <c r="H13" s="30" t="s">
        <v>249</v>
      </c>
      <c r="I13" s="67">
        <f t="shared" si="0"/>
        <v>0</v>
      </c>
    </row>
    <row r="14" spans="1:9" ht="15" customHeight="1">
      <c r="A14" s="34" t="s">
        <v>171</v>
      </c>
      <c r="B14" s="4" t="s">
        <v>203</v>
      </c>
      <c r="C14" s="4" t="s">
        <v>265</v>
      </c>
      <c r="D14" s="67">
        <f>'Stavební rozpočet'!I30</f>
        <v>0</v>
      </c>
      <c r="E14" s="67">
        <f>'Stavební rozpočet'!J30</f>
        <v>0</v>
      </c>
      <c r="F14" s="67">
        <f>'Stavební rozpočet'!K30</f>
        <v>0</v>
      </c>
      <c r="G14" s="5">
        <f>'Stavební rozpočet'!M30</f>
        <v>0</v>
      </c>
      <c r="H14" s="30" t="s">
        <v>249</v>
      </c>
      <c r="I14" s="67">
        <f t="shared" si="0"/>
        <v>0</v>
      </c>
    </row>
    <row r="15" spans="1:9" ht="15" customHeight="1">
      <c r="A15" s="34" t="s">
        <v>171</v>
      </c>
      <c r="B15" s="4" t="s">
        <v>178</v>
      </c>
      <c r="C15" s="4" t="s">
        <v>86</v>
      </c>
      <c r="D15" s="67">
        <f>'Stavební rozpočet'!I32</f>
        <v>0</v>
      </c>
      <c r="E15" s="67">
        <f>'Stavební rozpočet'!J32</f>
        <v>0</v>
      </c>
      <c r="F15" s="67">
        <f>'Stavební rozpočet'!K32</f>
        <v>0</v>
      </c>
      <c r="G15" s="5">
        <f>'Stavební rozpočet'!M32</f>
        <v>29.116021519999997</v>
      </c>
      <c r="H15" s="30" t="s">
        <v>249</v>
      </c>
      <c r="I15" s="67">
        <f t="shared" si="0"/>
        <v>0</v>
      </c>
    </row>
    <row r="16" spans="1:9" ht="15" customHeight="1">
      <c r="A16" s="34" t="s">
        <v>171</v>
      </c>
      <c r="B16" s="4" t="s">
        <v>251</v>
      </c>
      <c r="C16" s="4" t="s">
        <v>208</v>
      </c>
      <c r="D16" s="67">
        <f>'Stavební rozpočet'!I43</f>
        <v>0</v>
      </c>
      <c r="E16" s="67">
        <f>'Stavební rozpočet'!J43</f>
        <v>0</v>
      </c>
      <c r="F16" s="67">
        <f>'Stavební rozpočet'!K43</f>
        <v>0</v>
      </c>
      <c r="G16" s="5">
        <f>'Stavební rozpočet'!M43</f>
        <v>0.940653456</v>
      </c>
      <c r="H16" s="30" t="s">
        <v>249</v>
      </c>
      <c r="I16" s="67">
        <f t="shared" si="0"/>
        <v>0</v>
      </c>
    </row>
    <row r="17" spans="1:9" ht="15" customHeight="1">
      <c r="A17" s="34" t="s">
        <v>171</v>
      </c>
      <c r="B17" s="4" t="s">
        <v>135</v>
      </c>
      <c r="C17" s="4" t="s">
        <v>118</v>
      </c>
      <c r="D17" s="67">
        <f>'Stavební rozpočet'!I49</f>
        <v>0</v>
      </c>
      <c r="E17" s="67">
        <f>'Stavební rozpočet'!J49</f>
        <v>0</v>
      </c>
      <c r="F17" s="67">
        <f>'Stavební rozpočet'!K49</f>
        <v>0</v>
      </c>
      <c r="G17" s="5">
        <f>'Stavební rozpočet'!M49</f>
        <v>0.792396</v>
      </c>
      <c r="H17" s="30" t="s">
        <v>249</v>
      </c>
      <c r="I17" s="67">
        <f t="shared" si="0"/>
        <v>0</v>
      </c>
    </row>
    <row r="18" spans="1:9" ht="15" customHeight="1">
      <c r="A18" s="34" t="s">
        <v>171</v>
      </c>
      <c r="B18" s="4" t="s">
        <v>266</v>
      </c>
      <c r="C18" s="4" t="s">
        <v>179</v>
      </c>
      <c r="D18" s="67">
        <f>'Stavební rozpočet'!I54</f>
        <v>0</v>
      </c>
      <c r="E18" s="67">
        <f>'Stavební rozpočet'!J54</f>
        <v>0</v>
      </c>
      <c r="F18" s="67">
        <f>'Stavební rozpočet'!K54</f>
        <v>0</v>
      </c>
      <c r="G18" s="5">
        <f>'Stavební rozpočet'!M54</f>
        <v>15.507138900000001</v>
      </c>
      <c r="H18" s="30" t="s">
        <v>249</v>
      </c>
      <c r="I18" s="67">
        <f t="shared" si="0"/>
        <v>0</v>
      </c>
    </row>
    <row r="19" spans="1:9" ht="15" customHeight="1">
      <c r="A19" s="58" t="s">
        <v>171</v>
      </c>
      <c r="B19" s="9" t="s">
        <v>278</v>
      </c>
      <c r="C19" s="9" t="s">
        <v>157</v>
      </c>
      <c r="D19" s="68">
        <f>'Stavební rozpočet'!I57</f>
        <v>0</v>
      </c>
      <c r="E19" s="68">
        <f>'Stavební rozpočet'!J57</f>
        <v>0</v>
      </c>
      <c r="F19" s="68">
        <f>'Stavební rozpočet'!K57</f>
        <v>0</v>
      </c>
      <c r="G19" s="11">
        <f>'Stavební rozpočet'!M57</f>
        <v>1.17536</v>
      </c>
      <c r="H19" s="30" t="s">
        <v>249</v>
      </c>
      <c r="I19" s="67">
        <f t="shared" si="0"/>
        <v>0</v>
      </c>
    </row>
    <row r="20" spans="5:6" ht="15" customHeight="1">
      <c r="E20" s="33" t="s">
        <v>200</v>
      </c>
      <c r="F20" s="8">
        <f>SUM(I11:I19)</f>
        <v>0</v>
      </c>
    </row>
  </sheetData>
  <sheetProtection password="E9AE" sheet="1"/>
  <mergeCells count="25">
    <mergeCell ref="G2:G3"/>
    <mergeCell ref="G4:G5"/>
    <mergeCell ref="G6:G7"/>
    <mergeCell ref="G8:G9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E8:E9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7"/>
  <sheetViews>
    <sheetView showOutlineSymbols="0" zoomScalePageLayoutView="0" workbookViewId="0" topLeftCell="A1">
      <pane ySplit="11" topLeftCell="A12" activePane="bottomLeft" state="frozen"/>
      <selection pane="topLeft" activeCell="A67" sqref="A67:N67"/>
      <selection pane="bottomLeft" activeCell="A67" sqref="A67:N67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97.5" style="0" customWidth="1"/>
    <col min="6" max="6" width="5" style="0" customWidth="1"/>
    <col min="7" max="7" width="15" style="0" customWidth="1"/>
    <col min="8" max="8" width="14" style="0" customWidth="1"/>
    <col min="9" max="11" width="18.33203125" style="0" customWidth="1"/>
    <col min="12" max="14" width="13.66015625" style="0" customWidth="1"/>
    <col min="15" max="24" width="14.16015625" style="0" customWidth="1"/>
    <col min="25" max="74" width="14.16015625" style="0" hidden="1" customWidth="1"/>
  </cols>
  <sheetData>
    <row r="1" spans="1:14" ht="54.75" customHeight="1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 customHeight="1">
      <c r="A2" s="89" t="s">
        <v>12</v>
      </c>
      <c r="B2" s="90"/>
      <c r="C2" s="90"/>
      <c r="D2" s="98" t="s">
        <v>189</v>
      </c>
      <c r="E2" s="99"/>
      <c r="F2" s="90" t="s">
        <v>0</v>
      </c>
      <c r="G2" s="90"/>
      <c r="H2" s="90" t="s">
        <v>239</v>
      </c>
      <c r="I2" s="96" t="s">
        <v>215</v>
      </c>
      <c r="J2" s="90" t="s">
        <v>120</v>
      </c>
      <c r="K2" s="90"/>
      <c r="L2" s="90"/>
      <c r="M2" s="90"/>
      <c r="N2" s="101"/>
    </row>
    <row r="3" spans="1:14" ht="15" customHeight="1">
      <c r="A3" s="91"/>
      <c r="B3" s="92"/>
      <c r="C3" s="92"/>
      <c r="D3" s="100"/>
      <c r="E3" s="100"/>
      <c r="F3" s="92"/>
      <c r="G3" s="92"/>
      <c r="H3" s="92"/>
      <c r="I3" s="92"/>
      <c r="J3" s="92"/>
      <c r="K3" s="92"/>
      <c r="L3" s="92"/>
      <c r="M3" s="92"/>
      <c r="N3" s="102"/>
    </row>
    <row r="4" spans="1:14" ht="15" customHeight="1">
      <c r="A4" s="93" t="s">
        <v>137</v>
      </c>
      <c r="B4" s="92"/>
      <c r="C4" s="92"/>
      <c r="D4" s="97" t="s">
        <v>239</v>
      </c>
      <c r="E4" s="92"/>
      <c r="F4" s="92" t="s">
        <v>233</v>
      </c>
      <c r="G4" s="92"/>
      <c r="H4" s="92" t="s">
        <v>242</v>
      </c>
      <c r="I4" s="97" t="s">
        <v>167</v>
      </c>
      <c r="J4" s="92" t="s">
        <v>120</v>
      </c>
      <c r="K4" s="92"/>
      <c r="L4" s="92"/>
      <c r="M4" s="92"/>
      <c r="N4" s="102"/>
    </row>
    <row r="5" spans="1:14" ht="15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102"/>
    </row>
    <row r="6" spans="1:14" ht="15" customHeight="1">
      <c r="A6" s="93" t="s">
        <v>20</v>
      </c>
      <c r="B6" s="92"/>
      <c r="C6" s="92"/>
      <c r="D6" s="97" t="s">
        <v>213</v>
      </c>
      <c r="E6" s="92"/>
      <c r="F6" s="92" t="s">
        <v>81</v>
      </c>
      <c r="G6" s="92"/>
      <c r="H6" s="92" t="s">
        <v>239</v>
      </c>
      <c r="I6" s="97" t="s">
        <v>228</v>
      </c>
      <c r="J6" s="92" t="s">
        <v>120</v>
      </c>
      <c r="K6" s="92"/>
      <c r="L6" s="92"/>
      <c r="M6" s="92"/>
      <c r="N6" s="102"/>
    </row>
    <row r="7" spans="1:14" ht="1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102"/>
    </row>
    <row r="8" spans="1:14" ht="15" customHeight="1">
      <c r="A8" s="93" t="s">
        <v>122</v>
      </c>
      <c r="B8" s="92"/>
      <c r="C8" s="92"/>
      <c r="D8" s="97" t="s">
        <v>239</v>
      </c>
      <c r="E8" s="92"/>
      <c r="F8" s="92" t="s">
        <v>139</v>
      </c>
      <c r="G8" s="92"/>
      <c r="H8" s="92" t="s">
        <v>242</v>
      </c>
      <c r="I8" s="97" t="s">
        <v>161</v>
      </c>
      <c r="J8" s="92" t="s">
        <v>120</v>
      </c>
      <c r="K8" s="92"/>
      <c r="L8" s="92"/>
      <c r="M8" s="92"/>
      <c r="N8" s="102"/>
    </row>
    <row r="9" spans="1:14" ht="1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102"/>
    </row>
    <row r="10" spans="1:64" ht="15" customHeight="1">
      <c r="A10" s="26" t="s">
        <v>15</v>
      </c>
      <c r="B10" s="2" t="s">
        <v>187</v>
      </c>
      <c r="C10" s="2" t="s">
        <v>83</v>
      </c>
      <c r="D10" s="147" t="s">
        <v>170</v>
      </c>
      <c r="E10" s="148"/>
      <c r="F10" s="2" t="s">
        <v>90</v>
      </c>
      <c r="G10" s="69" t="s">
        <v>144</v>
      </c>
      <c r="H10" s="13" t="s">
        <v>79</v>
      </c>
      <c r="I10" s="151" t="s">
        <v>154</v>
      </c>
      <c r="J10" s="152"/>
      <c r="K10" s="153"/>
      <c r="L10" s="152" t="s">
        <v>44</v>
      </c>
      <c r="M10" s="152"/>
      <c r="N10" s="75" t="s">
        <v>72</v>
      </c>
      <c r="BK10" s="16" t="s">
        <v>104</v>
      </c>
      <c r="BL10" s="48" t="s">
        <v>131</v>
      </c>
    </row>
    <row r="11" spans="1:62" ht="15" customHeight="1">
      <c r="A11" s="46" t="s">
        <v>239</v>
      </c>
      <c r="B11" s="59" t="s">
        <v>239</v>
      </c>
      <c r="C11" s="59" t="s">
        <v>239</v>
      </c>
      <c r="D11" s="149" t="s">
        <v>259</v>
      </c>
      <c r="E11" s="150"/>
      <c r="F11" s="59" t="s">
        <v>239</v>
      </c>
      <c r="G11" s="59" t="s">
        <v>239</v>
      </c>
      <c r="H11" s="29" t="s">
        <v>244</v>
      </c>
      <c r="I11" s="42" t="s">
        <v>9</v>
      </c>
      <c r="J11" s="44" t="s">
        <v>53</v>
      </c>
      <c r="K11" s="17" t="s">
        <v>26</v>
      </c>
      <c r="L11" s="44" t="s">
        <v>84</v>
      </c>
      <c r="M11" s="29" t="s">
        <v>26</v>
      </c>
      <c r="N11" s="53" t="s">
        <v>67</v>
      </c>
      <c r="Z11" s="16" t="s">
        <v>195</v>
      </c>
      <c r="AA11" s="16" t="s">
        <v>148</v>
      </c>
      <c r="AB11" s="16" t="s">
        <v>270</v>
      </c>
      <c r="AC11" s="16" t="s">
        <v>75</v>
      </c>
      <c r="AD11" s="16" t="s">
        <v>219</v>
      </c>
      <c r="AE11" s="16" t="s">
        <v>95</v>
      </c>
      <c r="AF11" s="16" t="s">
        <v>236</v>
      </c>
      <c r="AG11" s="16" t="s">
        <v>112</v>
      </c>
      <c r="AH11" s="16" t="s">
        <v>68</v>
      </c>
      <c r="BH11" s="16" t="s">
        <v>196</v>
      </c>
      <c r="BI11" s="16" t="s">
        <v>264</v>
      </c>
      <c r="BJ11" s="16" t="s">
        <v>287</v>
      </c>
    </row>
    <row r="12" spans="1:47" ht="15" customHeight="1">
      <c r="A12" s="56" t="s">
        <v>171</v>
      </c>
      <c r="B12" s="37" t="s">
        <v>171</v>
      </c>
      <c r="C12" s="37" t="s">
        <v>76</v>
      </c>
      <c r="D12" s="154" t="s">
        <v>1</v>
      </c>
      <c r="E12" s="154"/>
      <c r="F12" s="81" t="s">
        <v>239</v>
      </c>
      <c r="G12" s="81" t="s">
        <v>239</v>
      </c>
      <c r="H12" s="81" t="s">
        <v>239</v>
      </c>
      <c r="I12" s="19">
        <f>SUM(I13:I18)</f>
        <v>0</v>
      </c>
      <c r="J12" s="19">
        <f>SUM(J13:J18)</f>
        <v>0</v>
      </c>
      <c r="K12" s="19">
        <f>SUM(K13:K18)</f>
        <v>0</v>
      </c>
      <c r="L12" s="71" t="s">
        <v>171</v>
      </c>
      <c r="M12" s="19">
        <f>SUM(M13:M18)</f>
        <v>666.4544000000001</v>
      </c>
      <c r="N12" s="1" t="s">
        <v>171</v>
      </c>
      <c r="AI12" s="16" t="s">
        <v>171</v>
      </c>
      <c r="AS12" s="70">
        <f>SUM(AJ13:AJ18)</f>
        <v>0</v>
      </c>
      <c r="AT12" s="70">
        <f>SUM(AK13:AK18)</f>
        <v>0</v>
      </c>
      <c r="AU12" s="70">
        <f>SUM(AL13:AL18)</f>
        <v>0</v>
      </c>
    </row>
    <row r="13" spans="1:64" ht="15" customHeight="1">
      <c r="A13" s="34" t="s">
        <v>256</v>
      </c>
      <c r="B13" s="4" t="s">
        <v>171</v>
      </c>
      <c r="C13" s="4" t="s">
        <v>190</v>
      </c>
      <c r="D13" s="92" t="s">
        <v>94</v>
      </c>
      <c r="E13" s="92"/>
      <c r="F13" s="4" t="s">
        <v>248</v>
      </c>
      <c r="G13" s="67">
        <v>398.084</v>
      </c>
      <c r="H13" s="84"/>
      <c r="I13" s="67">
        <f aca="true" t="shared" si="0" ref="I13:I18">G13*AO13</f>
        <v>0</v>
      </c>
      <c r="J13" s="67">
        <f aca="true" t="shared" si="1" ref="J13:J18">G13*AP13</f>
        <v>0</v>
      </c>
      <c r="K13" s="67">
        <f aca="true" t="shared" si="2" ref="K13:K18">G13*H13</f>
        <v>0</v>
      </c>
      <c r="L13" s="67">
        <v>1.6</v>
      </c>
      <c r="M13" s="67">
        <f aca="true" t="shared" si="3" ref="M13:M18">G13*L13</f>
        <v>636.9344000000001</v>
      </c>
      <c r="N13" s="21" t="s">
        <v>212</v>
      </c>
      <c r="Z13" s="67">
        <f aca="true" t="shared" si="4" ref="Z13:Z18">IF(AQ13="5",BJ13,0)</f>
        <v>0</v>
      </c>
      <c r="AB13" s="67">
        <f aca="true" t="shared" si="5" ref="AB13:AB18">IF(AQ13="1",BH13,0)</f>
        <v>0</v>
      </c>
      <c r="AC13" s="67">
        <f aca="true" t="shared" si="6" ref="AC13:AC18">IF(AQ13="1",BI13,0)</f>
        <v>0</v>
      </c>
      <c r="AD13" s="67">
        <f aca="true" t="shared" si="7" ref="AD13:AD18">IF(AQ13="7",BH13,0)</f>
        <v>0</v>
      </c>
      <c r="AE13" s="67">
        <f aca="true" t="shared" si="8" ref="AE13:AE18">IF(AQ13="7",BI13,0)</f>
        <v>0</v>
      </c>
      <c r="AF13" s="67">
        <f aca="true" t="shared" si="9" ref="AF13:AF18">IF(AQ13="2",BH13,0)</f>
        <v>0</v>
      </c>
      <c r="AG13" s="67">
        <f aca="true" t="shared" si="10" ref="AG13:AG18">IF(AQ13="2",BI13,0)</f>
        <v>0</v>
      </c>
      <c r="AH13" s="67">
        <f aca="true" t="shared" si="11" ref="AH13:AH18">IF(AQ13="0",BJ13,0)</f>
        <v>0</v>
      </c>
      <c r="AI13" s="16" t="s">
        <v>171</v>
      </c>
      <c r="AJ13" s="67">
        <f aca="true" t="shared" si="12" ref="AJ13:AJ18">IF(AN13=0,K13,0)</f>
        <v>0</v>
      </c>
      <c r="AK13" s="67">
        <f aca="true" t="shared" si="13" ref="AK13:AK18">IF(AN13=15,K13,0)</f>
        <v>0</v>
      </c>
      <c r="AL13" s="67">
        <f aca="true" t="shared" si="14" ref="AL13:AL18">IF(AN13=21,K13,0)</f>
        <v>0</v>
      </c>
      <c r="AN13" s="67">
        <v>21</v>
      </c>
      <c r="AO13" s="67">
        <f aca="true" t="shared" si="15" ref="AO13:AO18">H13*0</f>
        <v>0</v>
      </c>
      <c r="AP13" s="67">
        <f aca="true" t="shared" si="16" ref="AP13:AP18">H13*(1-0)</f>
        <v>0</v>
      </c>
      <c r="AQ13" s="30" t="s">
        <v>256</v>
      </c>
      <c r="AV13" s="67">
        <f aca="true" t="shared" si="17" ref="AV13:AV18">AW13+AX13</f>
        <v>0</v>
      </c>
      <c r="AW13" s="67">
        <f aca="true" t="shared" si="18" ref="AW13:AW18">G13*AO13</f>
        <v>0</v>
      </c>
      <c r="AX13" s="67">
        <f aca="true" t="shared" si="19" ref="AX13:AX18">G13*AP13</f>
        <v>0</v>
      </c>
      <c r="AY13" s="30" t="s">
        <v>238</v>
      </c>
      <c r="AZ13" s="30" t="s">
        <v>31</v>
      </c>
      <c r="BA13" s="16" t="s">
        <v>191</v>
      </c>
      <c r="BC13" s="67">
        <f aca="true" t="shared" si="20" ref="BC13:BC18">AW13+AX13</f>
        <v>0</v>
      </c>
      <c r="BD13" s="67">
        <f aca="true" t="shared" si="21" ref="BD13:BD18">H13/(100-BE13)*100</f>
        <v>0</v>
      </c>
      <c r="BE13" s="67">
        <v>0</v>
      </c>
      <c r="BF13" s="67">
        <f aca="true" t="shared" si="22" ref="BF13:BF18">M13</f>
        <v>636.9344000000001</v>
      </c>
      <c r="BH13" s="67">
        <f aca="true" t="shared" si="23" ref="BH13:BH18">G13*AO13</f>
        <v>0</v>
      </c>
      <c r="BI13" s="67">
        <f aca="true" t="shared" si="24" ref="BI13:BI18">G13*AP13</f>
        <v>0</v>
      </c>
      <c r="BJ13" s="67">
        <f aca="true" t="shared" si="25" ref="BJ13:BJ18">G13*H13</f>
        <v>0</v>
      </c>
      <c r="BK13" s="67"/>
      <c r="BL13" s="67">
        <v>13</v>
      </c>
    </row>
    <row r="14" spans="1:64" ht="15" customHeight="1">
      <c r="A14" s="34" t="s">
        <v>166</v>
      </c>
      <c r="B14" s="4" t="s">
        <v>171</v>
      </c>
      <c r="C14" s="4" t="s">
        <v>201</v>
      </c>
      <c r="D14" s="92" t="s">
        <v>205</v>
      </c>
      <c r="E14" s="92"/>
      <c r="F14" s="4" t="s">
        <v>248</v>
      </c>
      <c r="G14" s="67">
        <v>398.084</v>
      </c>
      <c r="H14" s="84"/>
      <c r="I14" s="67">
        <f t="shared" si="0"/>
        <v>0</v>
      </c>
      <c r="J14" s="67">
        <f t="shared" si="1"/>
        <v>0</v>
      </c>
      <c r="K14" s="67">
        <f t="shared" si="2"/>
        <v>0</v>
      </c>
      <c r="L14" s="67">
        <v>0</v>
      </c>
      <c r="M14" s="67">
        <f t="shared" si="3"/>
        <v>0</v>
      </c>
      <c r="N14" s="21" t="s">
        <v>212</v>
      </c>
      <c r="Z14" s="67">
        <f t="shared" si="4"/>
        <v>0</v>
      </c>
      <c r="AB14" s="67">
        <f t="shared" si="5"/>
        <v>0</v>
      </c>
      <c r="AC14" s="67">
        <f t="shared" si="6"/>
        <v>0</v>
      </c>
      <c r="AD14" s="67">
        <f t="shared" si="7"/>
        <v>0</v>
      </c>
      <c r="AE14" s="67">
        <f t="shared" si="8"/>
        <v>0</v>
      </c>
      <c r="AF14" s="67">
        <f t="shared" si="9"/>
        <v>0</v>
      </c>
      <c r="AG14" s="67">
        <f t="shared" si="10"/>
        <v>0</v>
      </c>
      <c r="AH14" s="67">
        <f t="shared" si="11"/>
        <v>0</v>
      </c>
      <c r="AI14" s="16" t="s">
        <v>171</v>
      </c>
      <c r="AJ14" s="67">
        <f t="shared" si="12"/>
        <v>0</v>
      </c>
      <c r="AK14" s="67">
        <f t="shared" si="13"/>
        <v>0</v>
      </c>
      <c r="AL14" s="67">
        <f t="shared" si="14"/>
        <v>0</v>
      </c>
      <c r="AN14" s="67">
        <v>21</v>
      </c>
      <c r="AO14" s="67">
        <f t="shared" si="15"/>
        <v>0</v>
      </c>
      <c r="AP14" s="67">
        <f t="shared" si="16"/>
        <v>0</v>
      </c>
      <c r="AQ14" s="30" t="s">
        <v>256</v>
      </c>
      <c r="AV14" s="67">
        <f t="shared" si="17"/>
        <v>0</v>
      </c>
      <c r="AW14" s="67">
        <f t="shared" si="18"/>
        <v>0</v>
      </c>
      <c r="AX14" s="67">
        <f t="shared" si="19"/>
        <v>0</v>
      </c>
      <c r="AY14" s="30" t="s">
        <v>238</v>
      </c>
      <c r="AZ14" s="30" t="s">
        <v>31</v>
      </c>
      <c r="BA14" s="16" t="s">
        <v>191</v>
      </c>
      <c r="BC14" s="67">
        <f t="shared" si="20"/>
        <v>0</v>
      </c>
      <c r="BD14" s="67">
        <f t="shared" si="21"/>
        <v>0</v>
      </c>
      <c r="BE14" s="67">
        <v>0</v>
      </c>
      <c r="BF14" s="67">
        <f t="shared" si="22"/>
        <v>0</v>
      </c>
      <c r="BH14" s="67">
        <f t="shared" si="23"/>
        <v>0</v>
      </c>
      <c r="BI14" s="67">
        <f t="shared" si="24"/>
        <v>0</v>
      </c>
      <c r="BJ14" s="67">
        <f t="shared" si="25"/>
        <v>0</v>
      </c>
      <c r="BK14" s="67"/>
      <c r="BL14" s="67">
        <v>13</v>
      </c>
    </row>
    <row r="15" spans="1:64" ht="15" customHeight="1">
      <c r="A15" s="34" t="s">
        <v>224</v>
      </c>
      <c r="B15" s="4" t="s">
        <v>171</v>
      </c>
      <c r="C15" s="4" t="s">
        <v>61</v>
      </c>
      <c r="D15" s="92" t="s">
        <v>27</v>
      </c>
      <c r="E15" s="92"/>
      <c r="F15" s="4" t="s">
        <v>248</v>
      </c>
      <c r="G15" s="67">
        <v>18.45</v>
      </c>
      <c r="H15" s="84"/>
      <c r="I15" s="67">
        <f t="shared" si="0"/>
        <v>0</v>
      </c>
      <c r="J15" s="67">
        <f t="shared" si="1"/>
        <v>0</v>
      </c>
      <c r="K15" s="67">
        <f t="shared" si="2"/>
        <v>0</v>
      </c>
      <c r="L15" s="67">
        <v>1.6</v>
      </c>
      <c r="M15" s="67">
        <f t="shared" si="3"/>
        <v>29.52</v>
      </c>
      <c r="N15" s="21" t="s">
        <v>212</v>
      </c>
      <c r="Z15" s="67">
        <f t="shared" si="4"/>
        <v>0</v>
      </c>
      <c r="AB15" s="67">
        <f t="shared" si="5"/>
        <v>0</v>
      </c>
      <c r="AC15" s="67">
        <f t="shared" si="6"/>
        <v>0</v>
      </c>
      <c r="AD15" s="67">
        <f t="shared" si="7"/>
        <v>0</v>
      </c>
      <c r="AE15" s="67">
        <f t="shared" si="8"/>
        <v>0</v>
      </c>
      <c r="AF15" s="67">
        <f t="shared" si="9"/>
        <v>0</v>
      </c>
      <c r="AG15" s="67">
        <f t="shared" si="10"/>
        <v>0</v>
      </c>
      <c r="AH15" s="67">
        <f t="shared" si="11"/>
        <v>0</v>
      </c>
      <c r="AI15" s="16" t="s">
        <v>171</v>
      </c>
      <c r="AJ15" s="67">
        <f t="shared" si="12"/>
        <v>0</v>
      </c>
      <c r="AK15" s="67">
        <f t="shared" si="13"/>
        <v>0</v>
      </c>
      <c r="AL15" s="67">
        <f t="shared" si="14"/>
        <v>0</v>
      </c>
      <c r="AN15" s="67">
        <v>21</v>
      </c>
      <c r="AO15" s="67">
        <f t="shared" si="15"/>
        <v>0</v>
      </c>
      <c r="AP15" s="67">
        <f t="shared" si="16"/>
        <v>0</v>
      </c>
      <c r="AQ15" s="30" t="s">
        <v>256</v>
      </c>
      <c r="AV15" s="67">
        <f t="shared" si="17"/>
        <v>0</v>
      </c>
      <c r="AW15" s="67">
        <f t="shared" si="18"/>
        <v>0</v>
      </c>
      <c r="AX15" s="67">
        <f t="shared" si="19"/>
        <v>0</v>
      </c>
      <c r="AY15" s="30" t="s">
        <v>238</v>
      </c>
      <c r="AZ15" s="30" t="s">
        <v>31</v>
      </c>
      <c r="BA15" s="16" t="s">
        <v>191</v>
      </c>
      <c r="BC15" s="67">
        <f t="shared" si="20"/>
        <v>0</v>
      </c>
      <c r="BD15" s="67">
        <f t="shared" si="21"/>
        <v>0</v>
      </c>
      <c r="BE15" s="67">
        <v>0</v>
      </c>
      <c r="BF15" s="67">
        <f t="shared" si="22"/>
        <v>29.52</v>
      </c>
      <c r="BH15" s="67">
        <f t="shared" si="23"/>
        <v>0</v>
      </c>
      <c r="BI15" s="67">
        <f t="shared" si="24"/>
        <v>0</v>
      </c>
      <c r="BJ15" s="67">
        <f t="shared" si="25"/>
        <v>0</v>
      </c>
      <c r="BK15" s="67"/>
      <c r="BL15" s="67">
        <v>13</v>
      </c>
    </row>
    <row r="16" spans="1:64" ht="15" customHeight="1">
      <c r="A16" s="34" t="s">
        <v>32</v>
      </c>
      <c r="B16" s="4" t="s">
        <v>171</v>
      </c>
      <c r="C16" s="4" t="s">
        <v>56</v>
      </c>
      <c r="D16" s="92" t="s">
        <v>145</v>
      </c>
      <c r="E16" s="92"/>
      <c r="F16" s="4" t="s">
        <v>119</v>
      </c>
      <c r="G16" s="67">
        <v>666.4544</v>
      </c>
      <c r="H16" s="84"/>
      <c r="I16" s="67">
        <f t="shared" si="0"/>
        <v>0</v>
      </c>
      <c r="J16" s="67">
        <f t="shared" si="1"/>
        <v>0</v>
      </c>
      <c r="K16" s="67">
        <f t="shared" si="2"/>
        <v>0</v>
      </c>
      <c r="L16" s="67">
        <v>0</v>
      </c>
      <c r="M16" s="67">
        <f t="shared" si="3"/>
        <v>0</v>
      </c>
      <c r="N16" s="21" t="s">
        <v>212</v>
      </c>
      <c r="Z16" s="67">
        <f t="shared" si="4"/>
        <v>0</v>
      </c>
      <c r="AB16" s="67">
        <f t="shared" si="5"/>
        <v>0</v>
      </c>
      <c r="AC16" s="67">
        <f t="shared" si="6"/>
        <v>0</v>
      </c>
      <c r="AD16" s="67">
        <f t="shared" si="7"/>
        <v>0</v>
      </c>
      <c r="AE16" s="67">
        <f t="shared" si="8"/>
        <v>0</v>
      </c>
      <c r="AF16" s="67">
        <f t="shared" si="9"/>
        <v>0</v>
      </c>
      <c r="AG16" s="67">
        <f t="shared" si="10"/>
        <v>0</v>
      </c>
      <c r="AH16" s="67">
        <f t="shared" si="11"/>
        <v>0</v>
      </c>
      <c r="AI16" s="16" t="s">
        <v>171</v>
      </c>
      <c r="AJ16" s="67">
        <f t="shared" si="12"/>
        <v>0</v>
      </c>
      <c r="AK16" s="67">
        <f t="shared" si="13"/>
        <v>0</v>
      </c>
      <c r="AL16" s="67">
        <f t="shared" si="14"/>
        <v>0</v>
      </c>
      <c r="AN16" s="67">
        <v>21</v>
      </c>
      <c r="AO16" s="67">
        <f t="shared" si="15"/>
        <v>0</v>
      </c>
      <c r="AP16" s="67">
        <f t="shared" si="16"/>
        <v>0</v>
      </c>
      <c r="AQ16" s="30" t="s">
        <v>134</v>
      </c>
      <c r="AV16" s="67">
        <f t="shared" si="17"/>
        <v>0</v>
      </c>
      <c r="AW16" s="67">
        <f t="shared" si="18"/>
        <v>0</v>
      </c>
      <c r="AX16" s="67">
        <f t="shared" si="19"/>
        <v>0</v>
      </c>
      <c r="AY16" s="30" t="s">
        <v>238</v>
      </c>
      <c r="AZ16" s="30" t="s">
        <v>31</v>
      </c>
      <c r="BA16" s="16" t="s">
        <v>191</v>
      </c>
      <c r="BC16" s="67">
        <f t="shared" si="20"/>
        <v>0</v>
      </c>
      <c r="BD16" s="67">
        <f t="shared" si="21"/>
        <v>0</v>
      </c>
      <c r="BE16" s="67">
        <v>0</v>
      </c>
      <c r="BF16" s="67">
        <f t="shared" si="22"/>
        <v>0</v>
      </c>
      <c r="BH16" s="67">
        <f t="shared" si="23"/>
        <v>0</v>
      </c>
      <c r="BI16" s="67">
        <f t="shared" si="24"/>
        <v>0</v>
      </c>
      <c r="BJ16" s="67">
        <f t="shared" si="25"/>
        <v>0</v>
      </c>
      <c r="BK16" s="67"/>
      <c r="BL16" s="67">
        <v>13</v>
      </c>
    </row>
    <row r="17" spans="1:64" ht="15" customHeight="1">
      <c r="A17" s="34" t="s">
        <v>134</v>
      </c>
      <c r="B17" s="4" t="s">
        <v>171</v>
      </c>
      <c r="C17" s="4" t="s">
        <v>258</v>
      </c>
      <c r="D17" s="92" t="s">
        <v>220</v>
      </c>
      <c r="E17" s="92"/>
      <c r="F17" s="4" t="s">
        <v>119</v>
      </c>
      <c r="G17" s="67">
        <v>666.4544</v>
      </c>
      <c r="H17" s="84"/>
      <c r="I17" s="67">
        <f t="shared" si="0"/>
        <v>0</v>
      </c>
      <c r="J17" s="67">
        <f t="shared" si="1"/>
        <v>0</v>
      </c>
      <c r="K17" s="67">
        <f t="shared" si="2"/>
        <v>0</v>
      </c>
      <c r="L17" s="67">
        <v>0</v>
      </c>
      <c r="M17" s="67">
        <f t="shared" si="3"/>
        <v>0</v>
      </c>
      <c r="N17" s="21" t="s">
        <v>212</v>
      </c>
      <c r="Z17" s="67">
        <f t="shared" si="4"/>
        <v>0</v>
      </c>
      <c r="AB17" s="67">
        <f t="shared" si="5"/>
        <v>0</v>
      </c>
      <c r="AC17" s="67">
        <f t="shared" si="6"/>
        <v>0</v>
      </c>
      <c r="AD17" s="67">
        <f t="shared" si="7"/>
        <v>0</v>
      </c>
      <c r="AE17" s="67">
        <f t="shared" si="8"/>
        <v>0</v>
      </c>
      <c r="AF17" s="67">
        <f t="shared" si="9"/>
        <v>0</v>
      </c>
      <c r="AG17" s="67">
        <f t="shared" si="10"/>
        <v>0</v>
      </c>
      <c r="AH17" s="67">
        <f t="shared" si="11"/>
        <v>0</v>
      </c>
      <c r="AI17" s="16" t="s">
        <v>171</v>
      </c>
      <c r="AJ17" s="67">
        <f t="shared" si="12"/>
        <v>0</v>
      </c>
      <c r="AK17" s="67">
        <f t="shared" si="13"/>
        <v>0</v>
      </c>
      <c r="AL17" s="67">
        <f t="shared" si="14"/>
        <v>0</v>
      </c>
      <c r="AN17" s="67">
        <v>21</v>
      </c>
      <c r="AO17" s="67">
        <f t="shared" si="15"/>
        <v>0</v>
      </c>
      <c r="AP17" s="67">
        <f t="shared" si="16"/>
        <v>0</v>
      </c>
      <c r="AQ17" s="30" t="s">
        <v>134</v>
      </c>
      <c r="AV17" s="67">
        <f t="shared" si="17"/>
        <v>0</v>
      </c>
      <c r="AW17" s="67">
        <f t="shared" si="18"/>
        <v>0</v>
      </c>
      <c r="AX17" s="67">
        <f t="shared" si="19"/>
        <v>0</v>
      </c>
      <c r="AY17" s="30" t="s">
        <v>238</v>
      </c>
      <c r="AZ17" s="30" t="s">
        <v>31</v>
      </c>
      <c r="BA17" s="16" t="s">
        <v>191</v>
      </c>
      <c r="BC17" s="67">
        <f t="shared" si="20"/>
        <v>0</v>
      </c>
      <c r="BD17" s="67">
        <f t="shared" si="21"/>
        <v>0</v>
      </c>
      <c r="BE17" s="67">
        <v>0</v>
      </c>
      <c r="BF17" s="67">
        <f t="shared" si="22"/>
        <v>0</v>
      </c>
      <c r="BH17" s="67">
        <f t="shared" si="23"/>
        <v>0</v>
      </c>
      <c r="BI17" s="67">
        <f t="shared" si="24"/>
        <v>0</v>
      </c>
      <c r="BJ17" s="67">
        <f t="shared" si="25"/>
        <v>0</v>
      </c>
      <c r="BK17" s="67"/>
      <c r="BL17" s="67">
        <v>13</v>
      </c>
    </row>
    <row r="18" spans="1:64" ht="15" customHeight="1">
      <c r="A18" s="34" t="s">
        <v>47</v>
      </c>
      <c r="B18" s="4" t="s">
        <v>171</v>
      </c>
      <c r="C18" s="4" t="s">
        <v>182</v>
      </c>
      <c r="D18" s="92" t="s">
        <v>18</v>
      </c>
      <c r="E18" s="92"/>
      <c r="F18" s="4" t="s">
        <v>248</v>
      </c>
      <c r="G18" s="67">
        <v>18.45</v>
      </c>
      <c r="H18" s="84"/>
      <c r="I18" s="67">
        <f t="shared" si="0"/>
        <v>0</v>
      </c>
      <c r="J18" s="67">
        <f t="shared" si="1"/>
        <v>0</v>
      </c>
      <c r="K18" s="67">
        <f t="shared" si="2"/>
        <v>0</v>
      </c>
      <c r="L18" s="67">
        <v>0</v>
      </c>
      <c r="M18" s="67">
        <f t="shared" si="3"/>
        <v>0</v>
      </c>
      <c r="N18" s="21" t="s">
        <v>212</v>
      </c>
      <c r="Z18" s="67">
        <f t="shared" si="4"/>
        <v>0</v>
      </c>
      <c r="AB18" s="67">
        <f t="shared" si="5"/>
        <v>0</v>
      </c>
      <c r="AC18" s="67">
        <f t="shared" si="6"/>
        <v>0</v>
      </c>
      <c r="AD18" s="67">
        <f t="shared" si="7"/>
        <v>0</v>
      </c>
      <c r="AE18" s="67">
        <f t="shared" si="8"/>
        <v>0</v>
      </c>
      <c r="AF18" s="67">
        <f t="shared" si="9"/>
        <v>0</v>
      </c>
      <c r="AG18" s="67">
        <f t="shared" si="10"/>
        <v>0</v>
      </c>
      <c r="AH18" s="67">
        <f t="shared" si="11"/>
        <v>0</v>
      </c>
      <c r="AI18" s="16" t="s">
        <v>171</v>
      </c>
      <c r="AJ18" s="67">
        <f t="shared" si="12"/>
        <v>0</v>
      </c>
      <c r="AK18" s="67">
        <f t="shared" si="13"/>
        <v>0</v>
      </c>
      <c r="AL18" s="67">
        <f t="shared" si="14"/>
        <v>0</v>
      </c>
      <c r="AN18" s="67">
        <v>21</v>
      </c>
      <c r="AO18" s="67">
        <f t="shared" si="15"/>
        <v>0</v>
      </c>
      <c r="AP18" s="67">
        <f t="shared" si="16"/>
        <v>0</v>
      </c>
      <c r="AQ18" s="30" t="s">
        <v>256</v>
      </c>
      <c r="AV18" s="67">
        <f t="shared" si="17"/>
        <v>0</v>
      </c>
      <c r="AW18" s="67">
        <f t="shared" si="18"/>
        <v>0</v>
      </c>
      <c r="AX18" s="67">
        <f t="shared" si="19"/>
        <v>0</v>
      </c>
      <c r="AY18" s="30" t="s">
        <v>238</v>
      </c>
      <c r="AZ18" s="30" t="s">
        <v>31</v>
      </c>
      <c r="BA18" s="16" t="s">
        <v>191</v>
      </c>
      <c r="BC18" s="67">
        <f t="shared" si="20"/>
        <v>0</v>
      </c>
      <c r="BD18" s="67">
        <f t="shared" si="21"/>
        <v>0</v>
      </c>
      <c r="BE18" s="67">
        <v>0</v>
      </c>
      <c r="BF18" s="67">
        <f t="shared" si="22"/>
        <v>0</v>
      </c>
      <c r="BH18" s="67">
        <f t="shared" si="23"/>
        <v>0</v>
      </c>
      <c r="BI18" s="67">
        <f t="shared" si="24"/>
        <v>0</v>
      </c>
      <c r="BJ18" s="67">
        <f t="shared" si="25"/>
        <v>0</v>
      </c>
      <c r="BK18" s="67"/>
      <c r="BL18" s="67">
        <v>13</v>
      </c>
    </row>
    <row r="19" spans="1:47" ht="15" customHeight="1">
      <c r="A19" s="22" t="s">
        <v>171</v>
      </c>
      <c r="B19" s="3" t="s">
        <v>171</v>
      </c>
      <c r="C19" s="3" t="s">
        <v>21</v>
      </c>
      <c r="D19" s="154" t="s">
        <v>210</v>
      </c>
      <c r="E19" s="154"/>
      <c r="F19" s="50" t="s">
        <v>239</v>
      </c>
      <c r="G19" s="50" t="s">
        <v>239</v>
      </c>
      <c r="H19" s="50" t="s">
        <v>239</v>
      </c>
      <c r="I19" s="70">
        <f>SUM(I20:I23)</f>
        <v>0</v>
      </c>
      <c r="J19" s="70">
        <f>SUM(J20:J23)</f>
        <v>0</v>
      </c>
      <c r="K19" s="70">
        <f>SUM(K20:K23)</f>
        <v>0</v>
      </c>
      <c r="L19" s="16" t="s">
        <v>171</v>
      </c>
      <c r="M19" s="70">
        <f>SUM(M20:M23)</f>
        <v>0</v>
      </c>
      <c r="N19" s="74" t="s">
        <v>171</v>
      </c>
      <c r="AI19" s="16" t="s">
        <v>171</v>
      </c>
      <c r="AS19" s="70">
        <f>SUM(AJ20:AJ23)</f>
        <v>0</v>
      </c>
      <c r="AT19" s="70">
        <f>SUM(AK20:AK23)</f>
        <v>0</v>
      </c>
      <c r="AU19" s="70">
        <f>SUM(AL20:AL23)</f>
        <v>0</v>
      </c>
    </row>
    <row r="20" spans="1:64" ht="15" customHeight="1">
      <c r="A20" s="34" t="s">
        <v>257</v>
      </c>
      <c r="B20" s="4" t="s">
        <v>171</v>
      </c>
      <c r="C20" s="4" t="s">
        <v>100</v>
      </c>
      <c r="D20" s="92" t="s">
        <v>176</v>
      </c>
      <c r="E20" s="92"/>
      <c r="F20" s="4" t="s">
        <v>248</v>
      </c>
      <c r="G20" s="67">
        <v>63.69344</v>
      </c>
      <c r="H20" s="84"/>
      <c r="I20" s="67">
        <f>G20*AO20</f>
        <v>0</v>
      </c>
      <c r="J20" s="67">
        <f>G20*AP20</f>
        <v>0</v>
      </c>
      <c r="K20" s="67">
        <f>G20*H20</f>
        <v>0</v>
      </c>
      <c r="L20" s="67">
        <v>0</v>
      </c>
      <c r="M20" s="67">
        <f>G20*L20</f>
        <v>0</v>
      </c>
      <c r="N20" s="21" t="s">
        <v>212</v>
      </c>
      <c r="Z20" s="67">
        <f>IF(AQ20="5",BJ20,0)</f>
        <v>0</v>
      </c>
      <c r="AB20" s="67">
        <f>IF(AQ20="1",BH20,0)</f>
        <v>0</v>
      </c>
      <c r="AC20" s="67">
        <f>IF(AQ20="1",BI20,0)</f>
        <v>0</v>
      </c>
      <c r="AD20" s="67">
        <f>IF(AQ20="7",BH20,0)</f>
        <v>0</v>
      </c>
      <c r="AE20" s="67">
        <f>IF(AQ20="7",BI20,0)</f>
        <v>0</v>
      </c>
      <c r="AF20" s="67">
        <f>IF(AQ20="2",BH20,0)</f>
        <v>0</v>
      </c>
      <c r="AG20" s="67">
        <f>IF(AQ20="2",BI20,0)</f>
        <v>0</v>
      </c>
      <c r="AH20" s="67">
        <f>IF(AQ20="0",BJ20,0)</f>
        <v>0</v>
      </c>
      <c r="AI20" s="16" t="s">
        <v>171</v>
      </c>
      <c r="AJ20" s="67">
        <f>IF(AN20=0,K20,0)</f>
        <v>0</v>
      </c>
      <c r="AK20" s="67">
        <f>IF(AN20=15,K20,0)</f>
        <v>0</v>
      </c>
      <c r="AL20" s="67">
        <f>IF(AN20=21,K20,0)</f>
        <v>0</v>
      </c>
      <c r="AN20" s="67">
        <v>21</v>
      </c>
      <c r="AO20" s="67">
        <f>H20*0</f>
        <v>0</v>
      </c>
      <c r="AP20" s="67">
        <f>H20*(1-0)</f>
        <v>0</v>
      </c>
      <c r="AQ20" s="30" t="s">
        <v>256</v>
      </c>
      <c r="AV20" s="67">
        <f>AW20+AX20</f>
        <v>0</v>
      </c>
      <c r="AW20" s="67">
        <f>G20*AO20</f>
        <v>0</v>
      </c>
      <c r="AX20" s="67">
        <f>G20*AP20</f>
        <v>0</v>
      </c>
      <c r="AY20" s="30" t="s">
        <v>240</v>
      </c>
      <c r="AZ20" s="30" t="s">
        <v>31</v>
      </c>
      <c r="BA20" s="16" t="s">
        <v>191</v>
      </c>
      <c r="BC20" s="67">
        <f>AW20+AX20</f>
        <v>0</v>
      </c>
      <c r="BD20" s="67">
        <f>H20/(100-BE20)*100</f>
        <v>0</v>
      </c>
      <c r="BE20" s="67">
        <v>0</v>
      </c>
      <c r="BF20" s="67">
        <f>M20</f>
        <v>0</v>
      </c>
      <c r="BH20" s="67">
        <f>G20*AO20</f>
        <v>0</v>
      </c>
      <c r="BI20" s="67">
        <f>G20*AP20</f>
        <v>0</v>
      </c>
      <c r="BJ20" s="67">
        <f>G20*H20</f>
        <v>0</v>
      </c>
      <c r="BK20" s="67"/>
      <c r="BL20" s="67">
        <v>16</v>
      </c>
    </row>
    <row r="21" spans="1:64" ht="15" customHeight="1">
      <c r="A21" s="34" t="s">
        <v>198</v>
      </c>
      <c r="B21" s="4" t="s">
        <v>171</v>
      </c>
      <c r="C21" s="4" t="s">
        <v>162</v>
      </c>
      <c r="D21" s="92" t="s">
        <v>286</v>
      </c>
      <c r="E21" s="92"/>
      <c r="F21" s="4" t="s">
        <v>248</v>
      </c>
      <c r="G21" s="67">
        <v>416.534</v>
      </c>
      <c r="H21" s="84"/>
      <c r="I21" s="67">
        <f>G21*AO21</f>
        <v>0</v>
      </c>
      <c r="J21" s="67">
        <f>G21*AP21</f>
        <v>0</v>
      </c>
      <c r="K21" s="67">
        <f>G21*H21</f>
        <v>0</v>
      </c>
      <c r="L21" s="67">
        <v>0</v>
      </c>
      <c r="M21" s="67">
        <f>G21*L21</f>
        <v>0</v>
      </c>
      <c r="N21" s="21" t="s">
        <v>212</v>
      </c>
      <c r="Z21" s="67">
        <f>IF(AQ21="5",BJ21,0)</f>
        <v>0</v>
      </c>
      <c r="AB21" s="67">
        <f>IF(AQ21="1",BH21,0)</f>
        <v>0</v>
      </c>
      <c r="AC21" s="67">
        <f>IF(AQ21="1",BI21,0)</f>
        <v>0</v>
      </c>
      <c r="AD21" s="67">
        <f>IF(AQ21="7",BH21,0)</f>
        <v>0</v>
      </c>
      <c r="AE21" s="67">
        <f>IF(AQ21="7",BI21,0)</f>
        <v>0</v>
      </c>
      <c r="AF21" s="67">
        <f>IF(AQ21="2",BH21,0)</f>
        <v>0</v>
      </c>
      <c r="AG21" s="67">
        <f>IF(AQ21="2",BI21,0)</f>
        <v>0</v>
      </c>
      <c r="AH21" s="67">
        <f>IF(AQ21="0",BJ21,0)</f>
        <v>0</v>
      </c>
      <c r="AI21" s="16" t="s">
        <v>171</v>
      </c>
      <c r="AJ21" s="67">
        <f>IF(AN21=0,K21,0)</f>
        <v>0</v>
      </c>
      <c r="AK21" s="67">
        <f>IF(AN21=15,K21,0)</f>
        <v>0</v>
      </c>
      <c r="AL21" s="67">
        <f>IF(AN21=21,K21,0)</f>
        <v>0</v>
      </c>
      <c r="AN21" s="67">
        <v>21</v>
      </c>
      <c r="AO21" s="67">
        <f>H21*0</f>
        <v>0</v>
      </c>
      <c r="AP21" s="67">
        <f>H21*(1-0)</f>
        <v>0</v>
      </c>
      <c r="AQ21" s="30" t="s">
        <v>256</v>
      </c>
      <c r="AV21" s="67">
        <f>AW21+AX21</f>
        <v>0</v>
      </c>
      <c r="AW21" s="67">
        <f>G21*AO21</f>
        <v>0</v>
      </c>
      <c r="AX21" s="67">
        <f>G21*AP21</f>
        <v>0</v>
      </c>
      <c r="AY21" s="30" t="s">
        <v>240</v>
      </c>
      <c r="AZ21" s="30" t="s">
        <v>31</v>
      </c>
      <c r="BA21" s="16" t="s">
        <v>191</v>
      </c>
      <c r="BC21" s="67">
        <f>AW21+AX21</f>
        <v>0</v>
      </c>
      <c r="BD21" s="67">
        <f>H21/(100-BE21)*100</f>
        <v>0</v>
      </c>
      <c r="BE21" s="67">
        <v>0</v>
      </c>
      <c r="BF21" s="67">
        <f>M21</f>
        <v>0</v>
      </c>
      <c r="BH21" s="67">
        <f>G21*AO21</f>
        <v>0</v>
      </c>
      <c r="BI21" s="67">
        <f>G21*AP21</f>
        <v>0</v>
      </c>
      <c r="BJ21" s="67">
        <f>G21*H21</f>
        <v>0</v>
      </c>
      <c r="BK21" s="67"/>
      <c r="BL21" s="67">
        <v>16</v>
      </c>
    </row>
    <row r="22" spans="1:14" ht="13.5" customHeight="1">
      <c r="A22" s="25"/>
      <c r="C22" s="63" t="s">
        <v>128</v>
      </c>
      <c r="D22" s="155" t="s">
        <v>169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7"/>
    </row>
    <row r="23" spans="1:64" ht="15" customHeight="1">
      <c r="A23" s="34" t="s">
        <v>99</v>
      </c>
      <c r="B23" s="4" t="s">
        <v>171</v>
      </c>
      <c r="C23" s="4" t="s">
        <v>237</v>
      </c>
      <c r="D23" s="92" t="s">
        <v>73</v>
      </c>
      <c r="E23" s="92"/>
      <c r="F23" s="4" t="s">
        <v>248</v>
      </c>
      <c r="G23" s="67">
        <v>416.534</v>
      </c>
      <c r="H23" s="84"/>
      <c r="I23" s="67">
        <f>G23*AO23</f>
        <v>0</v>
      </c>
      <c r="J23" s="67">
        <f>G23*AP23</f>
        <v>0</v>
      </c>
      <c r="K23" s="67">
        <f>G23*H23</f>
        <v>0</v>
      </c>
      <c r="L23" s="67">
        <v>0</v>
      </c>
      <c r="M23" s="67">
        <f>G23*L23</f>
        <v>0</v>
      </c>
      <c r="N23" s="21" t="s">
        <v>212</v>
      </c>
      <c r="Z23" s="67">
        <f>IF(AQ23="5",BJ23,0)</f>
        <v>0</v>
      </c>
      <c r="AB23" s="67">
        <f>IF(AQ23="1",BH23,0)</f>
        <v>0</v>
      </c>
      <c r="AC23" s="67">
        <f>IF(AQ23="1",BI23,0)</f>
        <v>0</v>
      </c>
      <c r="AD23" s="67">
        <f>IF(AQ23="7",BH23,0)</f>
        <v>0</v>
      </c>
      <c r="AE23" s="67">
        <f>IF(AQ23="7",BI23,0)</f>
        <v>0</v>
      </c>
      <c r="AF23" s="67">
        <f>IF(AQ23="2",BH23,0)</f>
        <v>0</v>
      </c>
      <c r="AG23" s="67">
        <f>IF(AQ23="2",BI23,0)</f>
        <v>0</v>
      </c>
      <c r="AH23" s="67">
        <f>IF(AQ23="0",BJ23,0)</f>
        <v>0</v>
      </c>
      <c r="AI23" s="16" t="s">
        <v>171</v>
      </c>
      <c r="AJ23" s="67">
        <f>IF(AN23=0,K23,0)</f>
        <v>0</v>
      </c>
      <c r="AK23" s="67">
        <f>IF(AN23=15,K23,0)</f>
        <v>0</v>
      </c>
      <c r="AL23" s="67">
        <f>IF(AN23=21,K23,0)</f>
        <v>0</v>
      </c>
      <c r="AN23" s="67">
        <v>21</v>
      </c>
      <c r="AO23" s="67">
        <f>H23*0</f>
        <v>0</v>
      </c>
      <c r="AP23" s="67">
        <f>H23*(1-0)</f>
        <v>0</v>
      </c>
      <c r="AQ23" s="30" t="s">
        <v>256</v>
      </c>
      <c r="AV23" s="67">
        <f>AW23+AX23</f>
        <v>0</v>
      </c>
      <c r="AW23" s="67">
        <f>G23*AO23</f>
        <v>0</v>
      </c>
      <c r="AX23" s="67">
        <f>G23*AP23</f>
        <v>0</v>
      </c>
      <c r="AY23" s="30" t="s">
        <v>240</v>
      </c>
      <c r="AZ23" s="30" t="s">
        <v>31</v>
      </c>
      <c r="BA23" s="16" t="s">
        <v>191</v>
      </c>
      <c r="BC23" s="67">
        <f>AW23+AX23</f>
        <v>0</v>
      </c>
      <c r="BD23" s="67">
        <f>H23/(100-BE23)*100</f>
        <v>0</v>
      </c>
      <c r="BE23" s="67">
        <v>0</v>
      </c>
      <c r="BF23" s="67">
        <f>M23</f>
        <v>0</v>
      </c>
      <c r="BH23" s="67">
        <f>G23*AO23</f>
        <v>0</v>
      </c>
      <c r="BI23" s="67">
        <f>G23*AP23</f>
        <v>0</v>
      </c>
      <c r="BJ23" s="67">
        <f>G23*H23</f>
        <v>0</v>
      </c>
      <c r="BK23" s="67"/>
      <c r="BL23" s="67">
        <v>16</v>
      </c>
    </row>
    <row r="24" spans="1:47" ht="15" customHeight="1">
      <c r="A24" s="22" t="s">
        <v>171</v>
      </c>
      <c r="B24" s="3" t="s">
        <v>171</v>
      </c>
      <c r="C24" s="3" t="s">
        <v>172</v>
      </c>
      <c r="D24" s="154" t="s">
        <v>39</v>
      </c>
      <c r="E24" s="154"/>
      <c r="F24" s="50" t="s">
        <v>239</v>
      </c>
      <c r="G24" s="50" t="s">
        <v>239</v>
      </c>
      <c r="H24" s="50" t="s">
        <v>239</v>
      </c>
      <c r="I24" s="70">
        <f>SUM(I25:I29)</f>
        <v>0</v>
      </c>
      <c r="J24" s="70">
        <f>SUM(J25:J29)</f>
        <v>0</v>
      </c>
      <c r="K24" s="70">
        <f>SUM(K25:K29)</f>
        <v>0</v>
      </c>
      <c r="L24" s="16" t="s">
        <v>171</v>
      </c>
      <c r="M24" s="70">
        <f>SUM(M25:M29)</f>
        <v>609.7121999999999</v>
      </c>
      <c r="N24" s="74" t="s">
        <v>171</v>
      </c>
      <c r="AI24" s="16" t="s">
        <v>171</v>
      </c>
      <c r="AS24" s="70">
        <f>SUM(AJ25:AJ29)</f>
        <v>0</v>
      </c>
      <c r="AT24" s="70">
        <f>SUM(AK25:AK29)</f>
        <v>0</v>
      </c>
      <c r="AU24" s="70">
        <f>SUM(AL25:AL29)</f>
        <v>0</v>
      </c>
    </row>
    <row r="25" spans="1:64" ht="15" customHeight="1">
      <c r="A25" s="34" t="s">
        <v>140</v>
      </c>
      <c r="B25" s="4" t="s">
        <v>171</v>
      </c>
      <c r="C25" s="4" t="s">
        <v>183</v>
      </c>
      <c r="D25" s="92" t="s">
        <v>130</v>
      </c>
      <c r="E25" s="92"/>
      <c r="F25" s="4" t="s">
        <v>248</v>
      </c>
      <c r="G25" s="67">
        <v>368.00088</v>
      </c>
      <c r="H25" s="84"/>
      <c r="I25" s="67">
        <f>G25*AO25</f>
        <v>0</v>
      </c>
      <c r="J25" s="67">
        <f>G25*AP25</f>
        <v>0</v>
      </c>
      <c r="K25" s="67">
        <f>G25*H25</f>
        <v>0</v>
      </c>
      <c r="L25" s="67">
        <v>0</v>
      </c>
      <c r="M25" s="67">
        <f>G25*L25</f>
        <v>0</v>
      </c>
      <c r="N25" s="21" t="s">
        <v>212</v>
      </c>
      <c r="Z25" s="67">
        <f>IF(AQ25="5",BJ25,0)</f>
        <v>0</v>
      </c>
      <c r="AB25" s="67">
        <f>IF(AQ25="1",BH25,0)</f>
        <v>0</v>
      </c>
      <c r="AC25" s="67">
        <f>IF(AQ25="1",BI25,0)</f>
        <v>0</v>
      </c>
      <c r="AD25" s="67">
        <f>IF(AQ25="7",BH25,0)</f>
        <v>0</v>
      </c>
      <c r="AE25" s="67">
        <f>IF(AQ25="7",BI25,0)</f>
        <v>0</v>
      </c>
      <c r="AF25" s="67">
        <f>IF(AQ25="2",BH25,0)</f>
        <v>0</v>
      </c>
      <c r="AG25" s="67">
        <f>IF(AQ25="2",BI25,0)</f>
        <v>0</v>
      </c>
      <c r="AH25" s="67">
        <f>IF(AQ25="0",BJ25,0)</f>
        <v>0</v>
      </c>
      <c r="AI25" s="16" t="s">
        <v>171</v>
      </c>
      <c r="AJ25" s="67">
        <f>IF(AN25=0,K25,0)</f>
        <v>0</v>
      </c>
      <c r="AK25" s="67">
        <f>IF(AN25=15,K25,0)</f>
        <v>0</v>
      </c>
      <c r="AL25" s="67">
        <f>IF(AN25=21,K25,0)</f>
        <v>0</v>
      </c>
      <c r="AN25" s="67">
        <v>21</v>
      </c>
      <c r="AO25" s="67">
        <f>H25*0</f>
        <v>0</v>
      </c>
      <c r="AP25" s="67">
        <f>H25*(1-0)</f>
        <v>0</v>
      </c>
      <c r="AQ25" s="30" t="s">
        <v>256</v>
      </c>
      <c r="AV25" s="67">
        <f>AW25+AX25</f>
        <v>0</v>
      </c>
      <c r="AW25" s="67">
        <f>G25*AO25</f>
        <v>0</v>
      </c>
      <c r="AX25" s="67">
        <f>G25*AP25</f>
        <v>0</v>
      </c>
      <c r="AY25" s="30" t="s">
        <v>57</v>
      </c>
      <c r="AZ25" s="30" t="s">
        <v>31</v>
      </c>
      <c r="BA25" s="16" t="s">
        <v>191</v>
      </c>
      <c r="BC25" s="67">
        <f>AW25+AX25</f>
        <v>0</v>
      </c>
      <c r="BD25" s="67">
        <f>H25/(100-BE25)*100</f>
        <v>0</v>
      </c>
      <c r="BE25" s="67">
        <v>0</v>
      </c>
      <c r="BF25" s="67">
        <f>M25</f>
        <v>0</v>
      </c>
      <c r="BH25" s="67">
        <f>G25*AO25</f>
        <v>0</v>
      </c>
      <c r="BI25" s="67">
        <f>G25*AP25</f>
        <v>0</v>
      </c>
      <c r="BJ25" s="67">
        <f>G25*H25</f>
        <v>0</v>
      </c>
      <c r="BK25" s="67"/>
      <c r="BL25" s="67">
        <v>17</v>
      </c>
    </row>
    <row r="26" spans="1:64" ht="15" customHeight="1">
      <c r="A26" s="34" t="s">
        <v>211</v>
      </c>
      <c r="B26" s="4" t="s">
        <v>171</v>
      </c>
      <c r="C26" s="4" t="s">
        <v>223</v>
      </c>
      <c r="D26" s="92" t="s">
        <v>62</v>
      </c>
      <c r="E26" s="92"/>
      <c r="F26" s="4" t="s">
        <v>119</v>
      </c>
      <c r="G26" s="67">
        <v>499.15128</v>
      </c>
      <c r="H26" s="84"/>
      <c r="I26" s="67">
        <f>G26*AO26</f>
        <v>0</v>
      </c>
      <c r="J26" s="67">
        <f>G26*AP26</f>
        <v>0</v>
      </c>
      <c r="K26" s="67">
        <f>G26*H26</f>
        <v>0</v>
      </c>
      <c r="L26" s="67">
        <v>1</v>
      </c>
      <c r="M26" s="67">
        <f>G26*L26</f>
        <v>499.15128</v>
      </c>
      <c r="N26" s="21" t="s">
        <v>212</v>
      </c>
      <c r="Z26" s="67">
        <f>IF(AQ26="5",BJ26,0)</f>
        <v>0</v>
      </c>
      <c r="AB26" s="67">
        <f>IF(AQ26="1",BH26,0)</f>
        <v>0</v>
      </c>
      <c r="AC26" s="67">
        <f>IF(AQ26="1",BI26,0)</f>
        <v>0</v>
      </c>
      <c r="AD26" s="67">
        <f>IF(AQ26="7",BH26,0)</f>
        <v>0</v>
      </c>
      <c r="AE26" s="67">
        <f>IF(AQ26="7",BI26,0)</f>
        <v>0</v>
      </c>
      <c r="AF26" s="67">
        <f>IF(AQ26="2",BH26,0)</f>
        <v>0</v>
      </c>
      <c r="AG26" s="67">
        <f>IF(AQ26="2",BI26,0)</f>
        <v>0</v>
      </c>
      <c r="AH26" s="67">
        <f>IF(AQ26="0",BJ26,0)</f>
        <v>0</v>
      </c>
      <c r="AI26" s="16" t="s">
        <v>171</v>
      </c>
      <c r="AJ26" s="67">
        <f>IF(AN26=0,K26,0)</f>
        <v>0</v>
      </c>
      <c r="AK26" s="67">
        <f>IF(AN26=15,K26,0)</f>
        <v>0</v>
      </c>
      <c r="AL26" s="67">
        <f>IF(AN26=21,K26,0)</f>
        <v>0</v>
      </c>
      <c r="AN26" s="67">
        <v>21</v>
      </c>
      <c r="AO26" s="67">
        <f>H26*1</f>
        <v>0</v>
      </c>
      <c r="AP26" s="67">
        <f>H26*(1-1)</f>
        <v>0</v>
      </c>
      <c r="AQ26" s="30" t="s">
        <v>256</v>
      </c>
      <c r="AV26" s="67">
        <f>AW26+AX26</f>
        <v>0</v>
      </c>
      <c r="AW26" s="67">
        <f>G26*AO26</f>
        <v>0</v>
      </c>
      <c r="AX26" s="67">
        <f>G26*AP26</f>
        <v>0</v>
      </c>
      <c r="AY26" s="30" t="s">
        <v>57</v>
      </c>
      <c r="AZ26" s="30" t="s">
        <v>31</v>
      </c>
      <c r="BA26" s="16" t="s">
        <v>191</v>
      </c>
      <c r="BC26" s="67">
        <f>AW26+AX26</f>
        <v>0</v>
      </c>
      <c r="BD26" s="67">
        <f>H26/(100-BE26)*100</f>
        <v>0</v>
      </c>
      <c r="BE26" s="67">
        <v>0</v>
      </c>
      <c r="BF26" s="67">
        <f>M26</f>
        <v>499.15128</v>
      </c>
      <c r="BH26" s="67">
        <f>G26*AO26</f>
        <v>0</v>
      </c>
      <c r="BI26" s="67">
        <f>G26*AP26</f>
        <v>0</v>
      </c>
      <c r="BJ26" s="67">
        <f>G26*H26</f>
        <v>0</v>
      </c>
      <c r="BK26" s="67"/>
      <c r="BL26" s="67">
        <v>17</v>
      </c>
    </row>
    <row r="27" spans="1:64" ht="15" customHeight="1">
      <c r="A27" s="34" t="s">
        <v>185</v>
      </c>
      <c r="B27" s="4" t="s">
        <v>171</v>
      </c>
      <c r="C27" s="4" t="s">
        <v>197</v>
      </c>
      <c r="D27" s="92" t="s">
        <v>115</v>
      </c>
      <c r="E27" s="92"/>
      <c r="F27" s="4" t="s">
        <v>119</v>
      </c>
      <c r="G27" s="67">
        <v>110.56092</v>
      </c>
      <c r="H27" s="84"/>
      <c r="I27" s="67">
        <f>G27*AO27</f>
        <v>0</v>
      </c>
      <c r="J27" s="67">
        <f>G27*AP27</f>
        <v>0</v>
      </c>
      <c r="K27" s="67">
        <f>G27*H27</f>
        <v>0</v>
      </c>
      <c r="L27" s="67">
        <v>1</v>
      </c>
      <c r="M27" s="67">
        <f>G27*L27</f>
        <v>110.56092</v>
      </c>
      <c r="N27" s="21" t="s">
        <v>212</v>
      </c>
      <c r="Z27" s="67">
        <f>IF(AQ27="5",BJ27,0)</f>
        <v>0</v>
      </c>
      <c r="AB27" s="67">
        <f>IF(AQ27="1",BH27,0)</f>
        <v>0</v>
      </c>
      <c r="AC27" s="67">
        <f>IF(AQ27="1",BI27,0)</f>
        <v>0</v>
      </c>
      <c r="AD27" s="67">
        <f>IF(AQ27="7",BH27,0)</f>
        <v>0</v>
      </c>
      <c r="AE27" s="67">
        <f>IF(AQ27="7",BI27,0)</f>
        <v>0</v>
      </c>
      <c r="AF27" s="67">
        <f>IF(AQ27="2",BH27,0)</f>
        <v>0</v>
      </c>
      <c r="AG27" s="67">
        <f>IF(AQ27="2",BI27,0)</f>
        <v>0</v>
      </c>
      <c r="AH27" s="67">
        <f>IF(AQ27="0",BJ27,0)</f>
        <v>0</v>
      </c>
      <c r="AI27" s="16" t="s">
        <v>171</v>
      </c>
      <c r="AJ27" s="67">
        <f>IF(AN27=0,K27,0)</f>
        <v>0</v>
      </c>
      <c r="AK27" s="67">
        <f>IF(AN27=15,K27,0)</f>
        <v>0</v>
      </c>
      <c r="AL27" s="67">
        <f>IF(AN27=21,K27,0)</f>
        <v>0</v>
      </c>
      <c r="AN27" s="67">
        <v>21</v>
      </c>
      <c r="AO27" s="67">
        <f>H27*1</f>
        <v>0</v>
      </c>
      <c r="AP27" s="67">
        <f>H27*(1-1)</f>
        <v>0</v>
      </c>
      <c r="AQ27" s="30" t="s">
        <v>256</v>
      </c>
      <c r="AV27" s="67">
        <f>AW27+AX27</f>
        <v>0</v>
      </c>
      <c r="AW27" s="67">
        <f>G27*AO27</f>
        <v>0</v>
      </c>
      <c r="AX27" s="67">
        <f>G27*AP27</f>
        <v>0</v>
      </c>
      <c r="AY27" s="30" t="s">
        <v>57</v>
      </c>
      <c r="AZ27" s="30" t="s">
        <v>31</v>
      </c>
      <c r="BA27" s="16" t="s">
        <v>191</v>
      </c>
      <c r="BC27" s="67">
        <f>AW27+AX27</f>
        <v>0</v>
      </c>
      <c r="BD27" s="67">
        <f>H27/(100-BE27)*100</f>
        <v>0</v>
      </c>
      <c r="BE27" s="67">
        <v>0</v>
      </c>
      <c r="BF27" s="67">
        <f>M27</f>
        <v>110.56092</v>
      </c>
      <c r="BH27" s="67">
        <f>G27*AO27</f>
        <v>0</v>
      </c>
      <c r="BI27" s="67">
        <f>G27*AP27</f>
        <v>0</v>
      </c>
      <c r="BJ27" s="67">
        <f>G27*H27</f>
        <v>0</v>
      </c>
      <c r="BK27" s="67"/>
      <c r="BL27" s="67">
        <v>17</v>
      </c>
    </row>
    <row r="28" spans="1:64" ht="15" customHeight="1">
      <c r="A28" s="34" t="s">
        <v>76</v>
      </c>
      <c r="B28" s="4" t="s">
        <v>171</v>
      </c>
      <c r="C28" s="4" t="s">
        <v>4</v>
      </c>
      <c r="D28" s="92" t="s">
        <v>109</v>
      </c>
      <c r="E28" s="92"/>
      <c r="F28" s="4" t="s">
        <v>119</v>
      </c>
      <c r="G28" s="67">
        <v>609.7122</v>
      </c>
      <c r="H28" s="84"/>
      <c r="I28" s="67">
        <f>G28*AO28</f>
        <v>0</v>
      </c>
      <c r="J28" s="67">
        <f>G28*AP28</f>
        <v>0</v>
      </c>
      <c r="K28" s="67">
        <f>G28*H28</f>
        <v>0</v>
      </c>
      <c r="L28" s="67">
        <v>0</v>
      </c>
      <c r="M28" s="67">
        <f>G28*L28</f>
        <v>0</v>
      </c>
      <c r="N28" s="21" t="s">
        <v>212</v>
      </c>
      <c r="Z28" s="67">
        <f>IF(AQ28="5",BJ28,0)</f>
        <v>0</v>
      </c>
      <c r="AB28" s="67">
        <f>IF(AQ28="1",BH28,0)</f>
        <v>0</v>
      </c>
      <c r="AC28" s="67">
        <f>IF(AQ28="1",BI28,0)</f>
        <v>0</v>
      </c>
      <c r="AD28" s="67">
        <f>IF(AQ28="7",BH28,0)</f>
        <v>0</v>
      </c>
      <c r="AE28" s="67">
        <f>IF(AQ28="7",BI28,0)</f>
        <v>0</v>
      </c>
      <c r="AF28" s="67">
        <f>IF(AQ28="2",BH28,0)</f>
        <v>0</v>
      </c>
      <c r="AG28" s="67">
        <f>IF(AQ28="2",BI28,0)</f>
        <v>0</v>
      </c>
      <c r="AH28" s="67">
        <f>IF(AQ28="0",BJ28,0)</f>
        <v>0</v>
      </c>
      <c r="AI28" s="16" t="s">
        <v>171</v>
      </c>
      <c r="AJ28" s="67">
        <f>IF(AN28=0,K28,0)</f>
        <v>0</v>
      </c>
      <c r="AK28" s="67">
        <f>IF(AN28=15,K28,0)</f>
        <v>0</v>
      </c>
      <c r="AL28" s="67">
        <f>IF(AN28=21,K28,0)</f>
        <v>0</v>
      </c>
      <c r="AN28" s="67">
        <v>21</v>
      </c>
      <c r="AO28" s="67">
        <f>H28*0</f>
        <v>0</v>
      </c>
      <c r="AP28" s="67">
        <f>H28*(1-0)</f>
        <v>0</v>
      </c>
      <c r="AQ28" s="30" t="s">
        <v>134</v>
      </c>
      <c r="AV28" s="67">
        <f>AW28+AX28</f>
        <v>0</v>
      </c>
      <c r="AW28" s="67">
        <f>G28*AO28</f>
        <v>0</v>
      </c>
      <c r="AX28" s="67">
        <f>G28*AP28</f>
        <v>0</v>
      </c>
      <c r="AY28" s="30" t="s">
        <v>57</v>
      </c>
      <c r="AZ28" s="30" t="s">
        <v>31</v>
      </c>
      <c r="BA28" s="16" t="s">
        <v>191</v>
      </c>
      <c r="BC28" s="67">
        <f>AW28+AX28</f>
        <v>0</v>
      </c>
      <c r="BD28" s="67">
        <f>H28/(100-BE28)*100</f>
        <v>0</v>
      </c>
      <c r="BE28" s="67">
        <v>0</v>
      </c>
      <c r="BF28" s="67">
        <f>M28</f>
        <v>0</v>
      </c>
      <c r="BH28" s="67">
        <f>G28*AO28</f>
        <v>0</v>
      </c>
      <c r="BI28" s="67">
        <f>G28*AP28</f>
        <v>0</v>
      </c>
      <c r="BJ28" s="67">
        <f>G28*H28</f>
        <v>0</v>
      </c>
      <c r="BK28" s="67"/>
      <c r="BL28" s="67">
        <v>17</v>
      </c>
    </row>
    <row r="29" spans="1:64" ht="15" customHeight="1">
      <c r="A29" s="34" t="s">
        <v>142</v>
      </c>
      <c r="B29" s="4" t="s">
        <v>171</v>
      </c>
      <c r="C29" s="4" t="s">
        <v>110</v>
      </c>
      <c r="D29" s="92" t="s">
        <v>241</v>
      </c>
      <c r="E29" s="92"/>
      <c r="F29" s="4" t="s">
        <v>119</v>
      </c>
      <c r="G29" s="67">
        <v>3658.272</v>
      </c>
      <c r="H29" s="84"/>
      <c r="I29" s="67">
        <f>G29*AO29</f>
        <v>0</v>
      </c>
      <c r="J29" s="67">
        <f>G29*AP29</f>
        <v>0</v>
      </c>
      <c r="K29" s="67">
        <f>G29*H29</f>
        <v>0</v>
      </c>
      <c r="L29" s="67">
        <v>0</v>
      </c>
      <c r="M29" s="67">
        <f>G29*L29</f>
        <v>0</v>
      </c>
      <c r="N29" s="21" t="s">
        <v>212</v>
      </c>
      <c r="Z29" s="67">
        <f>IF(AQ29="5",BJ29,0)</f>
        <v>0</v>
      </c>
      <c r="AB29" s="67">
        <f>IF(AQ29="1",BH29,0)</f>
        <v>0</v>
      </c>
      <c r="AC29" s="67">
        <f>IF(AQ29="1",BI29,0)</f>
        <v>0</v>
      </c>
      <c r="AD29" s="67">
        <f>IF(AQ29="7",BH29,0)</f>
        <v>0</v>
      </c>
      <c r="AE29" s="67">
        <f>IF(AQ29="7",BI29,0)</f>
        <v>0</v>
      </c>
      <c r="AF29" s="67">
        <f>IF(AQ29="2",BH29,0)</f>
        <v>0</v>
      </c>
      <c r="AG29" s="67">
        <f>IF(AQ29="2",BI29,0)</f>
        <v>0</v>
      </c>
      <c r="AH29" s="67">
        <f>IF(AQ29="0",BJ29,0)</f>
        <v>0</v>
      </c>
      <c r="AI29" s="16" t="s">
        <v>171</v>
      </c>
      <c r="AJ29" s="67">
        <f>IF(AN29=0,K29,0)</f>
        <v>0</v>
      </c>
      <c r="AK29" s="67">
        <f>IF(AN29=15,K29,0)</f>
        <v>0</v>
      </c>
      <c r="AL29" s="67">
        <f>IF(AN29=21,K29,0)</f>
        <v>0</v>
      </c>
      <c r="AN29" s="67">
        <v>21</v>
      </c>
      <c r="AO29" s="67">
        <f>H29*0</f>
        <v>0</v>
      </c>
      <c r="AP29" s="67">
        <f>H29*(1-0)</f>
        <v>0</v>
      </c>
      <c r="AQ29" s="30" t="s">
        <v>134</v>
      </c>
      <c r="AV29" s="67">
        <f>AW29+AX29</f>
        <v>0</v>
      </c>
      <c r="AW29" s="67">
        <f>G29*AO29</f>
        <v>0</v>
      </c>
      <c r="AX29" s="67">
        <f>G29*AP29</f>
        <v>0</v>
      </c>
      <c r="AY29" s="30" t="s">
        <v>57</v>
      </c>
      <c r="AZ29" s="30" t="s">
        <v>31</v>
      </c>
      <c r="BA29" s="16" t="s">
        <v>191</v>
      </c>
      <c r="BC29" s="67">
        <f>AW29+AX29</f>
        <v>0</v>
      </c>
      <c r="BD29" s="67">
        <f>H29/(100-BE29)*100</f>
        <v>0</v>
      </c>
      <c r="BE29" s="67">
        <v>0</v>
      </c>
      <c r="BF29" s="67">
        <f>M29</f>
        <v>0</v>
      </c>
      <c r="BH29" s="67">
        <f>G29*AO29</f>
        <v>0</v>
      </c>
      <c r="BI29" s="67">
        <f>G29*AP29</f>
        <v>0</v>
      </c>
      <c r="BJ29" s="67">
        <f>G29*H29</f>
        <v>0</v>
      </c>
      <c r="BK29" s="67"/>
      <c r="BL29" s="67">
        <v>17</v>
      </c>
    </row>
    <row r="30" spans="1:47" ht="15" customHeight="1">
      <c r="A30" s="22" t="s">
        <v>171</v>
      </c>
      <c r="B30" s="3" t="s">
        <v>171</v>
      </c>
      <c r="C30" s="3" t="s">
        <v>203</v>
      </c>
      <c r="D30" s="154" t="s">
        <v>265</v>
      </c>
      <c r="E30" s="154"/>
      <c r="F30" s="50" t="s">
        <v>239</v>
      </c>
      <c r="G30" s="50" t="s">
        <v>239</v>
      </c>
      <c r="H30" s="50" t="s">
        <v>239</v>
      </c>
      <c r="I30" s="70">
        <f>SUM(I31:I31)</f>
        <v>0</v>
      </c>
      <c r="J30" s="70">
        <f>SUM(J31:J31)</f>
        <v>0</v>
      </c>
      <c r="K30" s="70">
        <f>SUM(K31:K31)</f>
        <v>0</v>
      </c>
      <c r="L30" s="16" t="s">
        <v>171</v>
      </c>
      <c r="M30" s="70">
        <f>SUM(M31:M31)</f>
        <v>0</v>
      </c>
      <c r="N30" s="74" t="s">
        <v>171</v>
      </c>
      <c r="AI30" s="16" t="s">
        <v>171</v>
      </c>
      <c r="AS30" s="70">
        <f>SUM(AJ31:AJ31)</f>
        <v>0</v>
      </c>
      <c r="AT30" s="70">
        <f>SUM(AK31:AK31)</f>
        <v>0</v>
      </c>
      <c r="AU30" s="70">
        <f>SUM(AL31:AL31)</f>
        <v>0</v>
      </c>
    </row>
    <row r="31" spans="1:64" ht="15" customHeight="1">
      <c r="A31" s="34" t="s">
        <v>103</v>
      </c>
      <c r="B31" s="4" t="s">
        <v>171</v>
      </c>
      <c r="C31" s="4" t="s">
        <v>87</v>
      </c>
      <c r="D31" s="92" t="s">
        <v>160</v>
      </c>
      <c r="E31" s="92"/>
      <c r="F31" s="4" t="s">
        <v>253</v>
      </c>
      <c r="G31" s="67">
        <v>198.32</v>
      </c>
      <c r="H31" s="84"/>
      <c r="I31" s="67">
        <f>G31*AO31</f>
        <v>0</v>
      </c>
      <c r="J31" s="67">
        <f>G31*AP31</f>
        <v>0</v>
      </c>
      <c r="K31" s="67">
        <f>G31*H31</f>
        <v>0</v>
      </c>
      <c r="L31" s="67">
        <v>0</v>
      </c>
      <c r="M31" s="67">
        <f>G31*L31</f>
        <v>0</v>
      </c>
      <c r="N31" s="21" t="s">
        <v>212</v>
      </c>
      <c r="Z31" s="67">
        <f>IF(AQ31="5",BJ31,0)</f>
        <v>0</v>
      </c>
      <c r="AB31" s="67">
        <f>IF(AQ31="1",BH31,0)</f>
        <v>0</v>
      </c>
      <c r="AC31" s="67">
        <f>IF(AQ31="1",BI31,0)</f>
        <v>0</v>
      </c>
      <c r="AD31" s="67">
        <f>IF(AQ31="7",BH31,0)</f>
        <v>0</v>
      </c>
      <c r="AE31" s="67">
        <f>IF(AQ31="7",BI31,0)</f>
        <v>0</v>
      </c>
      <c r="AF31" s="67">
        <f>IF(AQ31="2",BH31,0)</f>
        <v>0</v>
      </c>
      <c r="AG31" s="67">
        <f>IF(AQ31="2",BI31,0)</f>
        <v>0</v>
      </c>
      <c r="AH31" s="67">
        <f>IF(AQ31="0",BJ31,0)</f>
        <v>0</v>
      </c>
      <c r="AI31" s="16" t="s">
        <v>171</v>
      </c>
      <c r="AJ31" s="67">
        <f>IF(AN31=0,K31,0)</f>
        <v>0</v>
      </c>
      <c r="AK31" s="67">
        <f>IF(AN31=15,K31,0)</f>
        <v>0</v>
      </c>
      <c r="AL31" s="67">
        <f>IF(AN31=21,K31,0)</f>
        <v>0</v>
      </c>
      <c r="AN31" s="67">
        <v>21</v>
      </c>
      <c r="AO31" s="67">
        <f>H31*0</f>
        <v>0</v>
      </c>
      <c r="AP31" s="67">
        <f>H31*(1-0)</f>
        <v>0</v>
      </c>
      <c r="AQ31" s="30" t="s">
        <v>256</v>
      </c>
      <c r="AV31" s="67">
        <f>AW31+AX31</f>
        <v>0</v>
      </c>
      <c r="AW31" s="67">
        <f>G31*AO31</f>
        <v>0</v>
      </c>
      <c r="AX31" s="67">
        <f>G31*AP31</f>
        <v>0</v>
      </c>
      <c r="AY31" s="30" t="s">
        <v>123</v>
      </c>
      <c r="AZ31" s="30" t="s">
        <v>31</v>
      </c>
      <c r="BA31" s="16" t="s">
        <v>191</v>
      </c>
      <c r="BC31" s="67">
        <f>AW31+AX31</f>
        <v>0</v>
      </c>
      <c r="BD31" s="67">
        <f>H31/(100-BE31)*100</f>
        <v>0</v>
      </c>
      <c r="BE31" s="67">
        <v>0</v>
      </c>
      <c r="BF31" s="67">
        <f>M31</f>
        <v>0</v>
      </c>
      <c r="BH31" s="67">
        <f>G31*AO31</f>
        <v>0</v>
      </c>
      <c r="BI31" s="67">
        <f>G31*AP31</f>
        <v>0</v>
      </c>
      <c r="BJ31" s="67">
        <f>G31*H31</f>
        <v>0</v>
      </c>
      <c r="BK31" s="67"/>
      <c r="BL31" s="67">
        <v>18</v>
      </c>
    </row>
    <row r="32" spans="1:47" ht="15" customHeight="1">
      <c r="A32" s="22" t="s">
        <v>171</v>
      </c>
      <c r="B32" s="3" t="s">
        <v>171</v>
      </c>
      <c r="C32" s="3" t="s">
        <v>178</v>
      </c>
      <c r="D32" s="154" t="s">
        <v>86</v>
      </c>
      <c r="E32" s="154"/>
      <c r="F32" s="50" t="s">
        <v>239</v>
      </c>
      <c r="G32" s="50" t="s">
        <v>239</v>
      </c>
      <c r="H32" s="50" t="s">
        <v>239</v>
      </c>
      <c r="I32" s="70">
        <f>SUM(I33:I42)</f>
        <v>0</v>
      </c>
      <c r="J32" s="70">
        <f>SUM(J33:J42)</f>
        <v>0</v>
      </c>
      <c r="K32" s="70">
        <f>SUM(K33:K42)</f>
        <v>0</v>
      </c>
      <c r="L32" s="16" t="s">
        <v>171</v>
      </c>
      <c r="M32" s="70">
        <f>SUM(M33:M42)</f>
        <v>29.116021519999997</v>
      </c>
      <c r="N32" s="74" t="s">
        <v>171</v>
      </c>
      <c r="AI32" s="16" t="s">
        <v>171</v>
      </c>
      <c r="AS32" s="70">
        <f>SUM(AJ33:AJ42)</f>
        <v>0</v>
      </c>
      <c r="AT32" s="70">
        <f>SUM(AK33:AK42)</f>
        <v>0</v>
      </c>
      <c r="AU32" s="70">
        <f>SUM(AL33:AL42)</f>
        <v>0</v>
      </c>
    </row>
    <row r="33" spans="1:64" ht="15" customHeight="1">
      <c r="A33" s="34" t="s">
        <v>21</v>
      </c>
      <c r="B33" s="4" t="s">
        <v>171</v>
      </c>
      <c r="C33" s="4" t="s">
        <v>7</v>
      </c>
      <c r="D33" s="92" t="s">
        <v>293</v>
      </c>
      <c r="E33" s="92"/>
      <c r="F33" s="4" t="s">
        <v>248</v>
      </c>
      <c r="G33" s="67">
        <v>8.03712</v>
      </c>
      <c r="H33" s="84"/>
      <c r="I33" s="67">
        <f aca="true" t="shared" si="26" ref="I33:I42">G33*AO33</f>
        <v>0</v>
      </c>
      <c r="J33" s="67">
        <f aca="true" t="shared" si="27" ref="J33:J42">G33*AP33</f>
        <v>0</v>
      </c>
      <c r="K33" s="67">
        <f aca="true" t="shared" si="28" ref="K33:K42">G33*H33</f>
        <v>0</v>
      </c>
      <c r="L33" s="67">
        <v>1.665</v>
      </c>
      <c r="M33" s="67">
        <f aca="true" t="shared" si="29" ref="M33:M42">G33*L33</f>
        <v>13.3818048</v>
      </c>
      <c r="N33" s="21" t="s">
        <v>212</v>
      </c>
      <c r="Z33" s="67">
        <f aca="true" t="shared" si="30" ref="Z33:Z42">IF(AQ33="5",BJ33,0)</f>
        <v>0</v>
      </c>
      <c r="AB33" s="67">
        <f aca="true" t="shared" si="31" ref="AB33:AB42">IF(AQ33="1",BH33,0)</f>
        <v>0</v>
      </c>
      <c r="AC33" s="67">
        <f aca="true" t="shared" si="32" ref="AC33:AC42">IF(AQ33="1",BI33,0)</f>
        <v>0</v>
      </c>
      <c r="AD33" s="67">
        <f aca="true" t="shared" si="33" ref="AD33:AD42">IF(AQ33="7",BH33,0)</f>
        <v>0</v>
      </c>
      <c r="AE33" s="67">
        <f aca="true" t="shared" si="34" ref="AE33:AE42">IF(AQ33="7",BI33,0)</f>
        <v>0</v>
      </c>
      <c r="AF33" s="67">
        <f aca="true" t="shared" si="35" ref="AF33:AF42">IF(AQ33="2",BH33,0)</f>
        <v>0</v>
      </c>
      <c r="AG33" s="67">
        <f aca="true" t="shared" si="36" ref="AG33:AG42">IF(AQ33="2",BI33,0)</f>
        <v>0</v>
      </c>
      <c r="AH33" s="67">
        <f aca="true" t="shared" si="37" ref="AH33:AH42">IF(AQ33="0",BJ33,0)</f>
        <v>0</v>
      </c>
      <c r="AI33" s="16" t="s">
        <v>171</v>
      </c>
      <c r="AJ33" s="67">
        <f aca="true" t="shared" si="38" ref="AJ33:AJ42">IF(AN33=0,K33,0)</f>
        <v>0</v>
      </c>
      <c r="AK33" s="67">
        <f aca="true" t="shared" si="39" ref="AK33:AK42">IF(AN33=15,K33,0)</f>
        <v>0</v>
      </c>
      <c r="AL33" s="67">
        <f aca="true" t="shared" si="40" ref="AL33:AL42">IF(AN33=21,K33,0)</f>
        <v>0</v>
      </c>
      <c r="AN33" s="67">
        <v>21</v>
      </c>
      <c r="AO33" s="67">
        <f>H33*0.724479046265395</f>
        <v>0</v>
      </c>
      <c r="AP33" s="67">
        <f>H33*(1-0.724479046265395)</f>
        <v>0</v>
      </c>
      <c r="AQ33" s="30" t="s">
        <v>256</v>
      </c>
      <c r="AV33" s="67">
        <f aca="true" t="shared" si="41" ref="AV33:AV42">AW33+AX33</f>
        <v>0</v>
      </c>
      <c r="AW33" s="67">
        <f aca="true" t="shared" si="42" ref="AW33:AW42">G33*AO33</f>
        <v>0</v>
      </c>
      <c r="AX33" s="67">
        <f aca="true" t="shared" si="43" ref="AX33:AX42">G33*AP33</f>
        <v>0</v>
      </c>
      <c r="AY33" s="30" t="s">
        <v>147</v>
      </c>
      <c r="AZ33" s="30" t="s">
        <v>43</v>
      </c>
      <c r="BA33" s="16" t="s">
        <v>191</v>
      </c>
      <c r="BC33" s="67">
        <f aca="true" t="shared" si="44" ref="BC33:BC42">AW33+AX33</f>
        <v>0</v>
      </c>
      <c r="BD33" s="67">
        <f aca="true" t="shared" si="45" ref="BD33:BD42">H33/(100-BE33)*100</f>
        <v>0</v>
      </c>
      <c r="BE33" s="67">
        <v>0</v>
      </c>
      <c r="BF33" s="67">
        <f aca="true" t="shared" si="46" ref="BF33:BF42">M33</f>
        <v>13.3818048</v>
      </c>
      <c r="BH33" s="67">
        <f aca="true" t="shared" si="47" ref="BH33:BH42">G33*AO33</f>
        <v>0</v>
      </c>
      <c r="BI33" s="67">
        <f aca="true" t="shared" si="48" ref="BI33:BI42">G33*AP33</f>
        <v>0</v>
      </c>
      <c r="BJ33" s="67">
        <f aca="true" t="shared" si="49" ref="BJ33:BJ42">G33*H33</f>
        <v>0</v>
      </c>
      <c r="BK33" s="67"/>
      <c r="BL33" s="67">
        <v>21</v>
      </c>
    </row>
    <row r="34" spans="1:64" ht="15" customHeight="1">
      <c r="A34" s="34" t="s">
        <v>172</v>
      </c>
      <c r="B34" s="4" t="s">
        <v>171</v>
      </c>
      <c r="C34" s="4" t="s">
        <v>113</v>
      </c>
      <c r="D34" s="92" t="s">
        <v>126</v>
      </c>
      <c r="E34" s="92"/>
      <c r="F34" s="4" t="s">
        <v>248</v>
      </c>
      <c r="G34" s="67">
        <v>8.03712</v>
      </c>
      <c r="H34" s="84"/>
      <c r="I34" s="67">
        <f t="shared" si="26"/>
        <v>0</v>
      </c>
      <c r="J34" s="67">
        <f t="shared" si="27"/>
        <v>0</v>
      </c>
      <c r="K34" s="67">
        <f t="shared" si="28"/>
        <v>0</v>
      </c>
      <c r="L34" s="67">
        <v>1.63</v>
      </c>
      <c r="M34" s="67">
        <f t="shared" si="29"/>
        <v>13.100505599999998</v>
      </c>
      <c r="N34" s="21" t="s">
        <v>212</v>
      </c>
      <c r="Z34" s="67">
        <f t="shared" si="30"/>
        <v>0</v>
      </c>
      <c r="AB34" s="67">
        <f t="shared" si="31"/>
        <v>0</v>
      </c>
      <c r="AC34" s="67">
        <f t="shared" si="32"/>
        <v>0</v>
      </c>
      <c r="AD34" s="67">
        <f t="shared" si="33"/>
        <v>0</v>
      </c>
      <c r="AE34" s="67">
        <f t="shared" si="34"/>
        <v>0</v>
      </c>
      <c r="AF34" s="67">
        <f t="shared" si="35"/>
        <v>0</v>
      </c>
      <c r="AG34" s="67">
        <f t="shared" si="36"/>
        <v>0</v>
      </c>
      <c r="AH34" s="67">
        <f t="shared" si="37"/>
        <v>0</v>
      </c>
      <c r="AI34" s="16" t="s">
        <v>171</v>
      </c>
      <c r="AJ34" s="67">
        <f t="shared" si="38"/>
        <v>0</v>
      </c>
      <c r="AK34" s="67">
        <f t="shared" si="39"/>
        <v>0</v>
      </c>
      <c r="AL34" s="67">
        <f t="shared" si="40"/>
        <v>0</v>
      </c>
      <c r="AN34" s="67">
        <v>21</v>
      </c>
      <c r="AO34" s="67">
        <f>H34*0.578364346001658</f>
        <v>0</v>
      </c>
      <c r="AP34" s="67">
        <f>H34*(1-0.578364346001658)</f>
        <v>0</v>
      </c>
      <c r="AQ34" s="30" t="s">
        <v>256</v>
      </c>
      <c r="AV34" s="67">
        <f t="shared" si="41"/>
        <v>0</v>
      </c>
      <c r="AW34" s="67">
        <f t="shared" si="42"/>
        <v>0</v>
      </c>
      <c r="AX34" s="67">
        <f t="shared" si="43"/>
        <v>0</v>
      </c>
      <c r="AY34" s="30" t="s">
        <v>147</v>
      </c>
      <c r="AZ34" s="30" t="s">
        <v>43</v>
      </c>
      <c r="BA34" s="16" t="s">
        <v>191</v>
      </c>
      <c r="BC34" s="67">
        <f t="shared" si="44"/>
        <v>0</v>
      </c>
      <c r="BD34" s="67">
        <f t="shared" si="45"/>
        <v>0</v>
      </c>
      <c r="BE34" s="67">
        <v>0</v>
      </c>
      <c r="BF34" s="67">
        <f t="shared" si="46"/>
        <v>13.100505599999998</v>
      </c>
      <c r="BH34" s="67">
        <f t="shared" si="47"/>
        <v>0</v>
      </c>
      <c r="BI34" s="67">
        <f t="shared" si="48"/>
        <v>0</v>
      </c>
      <c r="BJ34" s="67">
        <f t="shared" si="49"/>
        <v>0</v>
      </c>
      <c r="BK34" s="67"/>
      <c r="BL34" s="67">
        <v>21</v>
      </c>
    </row>
    <row r="35" spans="1:64" ht="15" customHeight="1">
      <c r="A35" s="34" t="s">
        <v>203</v>
      </c>
      <c r="B35" s="4" t="s">
        <v>171</v>
      </c>
      <c r="C35" s="4" t="s">
        <v>152</v>
      </c>
      <c r="D35" s="92" t="s">
        <v>82</v>
      </c>
      <c r="E35" s="92"/>
      <c r="F35" s="4" t="s">
        <v>209</v>
      </c>
      <c r="G35" s="67">
        <v>28.34</v>
      </c>
      <c r="H35" s="84"/>
      <c r="I35" s="67">
        <f t="shared" si="26"/>
        <v>0</v>
      </c>
      <c r="J35" s="67">
        <f t="shared" si="27"/>
        <v>0</v>
      </c>
      <c r="K35" s="67">
        <f t="shared" si="28"/>
        <v>0</v>
      </c>
      <c r="L35" s="67">
        <v>0</v>
      </c>
      <c r="M35" s="67">
        <f t="shared" si="29"/>
        <v>0</v>
      </c>
      <c r="N35" s="21" t="s">
        <v>212</v>
      </c>
      <c r="Z35" s="67">
        <f t="shared" si="30"/>
        <v>0</v>
      </c>
      <c r="AB35" s="67">
        <f t="shared" si="31"/>
        <v>0</v>
      </c>
      <c r="AC35" s="67">
        <f t="shared" si="32"/>
        <v>0</v>
      </c>
      <c r="AD35" s="67">
        <f t="shared" si="33"/>
        <v>0</v>
      </c>
      <c r="AE35" s="67">
        <f t="shared" si="34"/>
        <v>0</v>
      </c>
      <c r="AF35" s="67">
        <f t="shared" si="35"/>
        <v>0</v>
      </c>
      <c r="AG35" s="67">
        <f t="shared" si="36"/>
        <v>0</v>
      </c>
      <c r="AH35" s="67">
        <f t="shared" si="37"/>
        <v>0</v>
      </c>
      <c r="AI35" s="16" t="s">
        <v>171</v>
      </c>
      <c r="AJ35" s="67">
        <f t="shared" si="38"/>
        <v>0</v>
      </c>
      <c r="AK35" s="67">
        <f t="shared" si="39"/>
        <v>0</v>
      </c>
      <c r="AL35" s="67">
        <f t="shared" si="40"/>
        <v>0</v>
      </c>
      <c r="AN35" s="67">
        <v>21</v>
      </c>
      <c r="AO35" s="67">
        <f>H35*0</f>
        <v>0</v>
      </c>
      <c r="AP35" s="67">
        <f>H35*(1-0)</f>
        <v>0</v>
      </c>
      <c r="AQ35" s="30" t="s">
        <v>256</v>
      </c>
      <c r="AV35" s="67">
        <f t="shared" si="41"/>
        <v>0</v>
      </c>
      <c r="AW35" s="67">
        <f t="shared" si="42"/>
        <v>0</v>
      </c>
      <c r="AX35" s="67">
        <f t="shared" si="43"/>
        <v>0</v>
      </c>
      <c r="AY35" s="30" t="s">
        <v>147</v>
      </c>
      <c r="AZ35" s="30" t="s">
        <v>43</v>
      </c>
      <c r="BA35" s="16" t="s">
        <v>191</v>
      </c>
      <c r="BC35" s="67">
        <f t="shared" si="44"/>
        <v>0</v>
      </c>
      <c r="BD35" s="67">
        <f t="shared" si="45"/>
        <v>0</v>
      </c>
      <c r="BE35" s="67">
        <v>0</v>
      </c>
      <c r="BF35" s="67">
        <f t="shared" si="46"/>
        <v>0</v>
      </c>
      <c r="BH35" s="67">
        <f t="shared" si="47"/>
        <v>0</v>
      </c>
      <c r="BI35" s="67">
        <f t="shared" si="48"/>
        <v>0</v>
      </c>
      <c r="BJ35" s="67">
        <f t="shared" si="49"/>
        <v>0</v>
      </c>
      <c r="BK35" s="67"/>
      <c r="BL35" s="67">
        <v>21</v>
      </c>
    </row>
    <row r="36" spans="1:64" ht="15" customHeight="1">
      <c r="A36" s="34" t="s">
        <v>151</v>
      </c>
      <c r="B36" s="4" t="s">
        <v>171</v>
      </c>
      <c r="C36" s="4" t="s">
        <v>273</v>
      </c>
      <c r="D36" s="92" t="s">
        <v>295</v>
      </c>
      <c r="E36" s="92"/>
      <c r="F36" s="4" t="s">
        <v>209</v>
      </c>
      <c r="G36" s="67">
        <v>25.78</v>
      </c>
      <c r="H36" s="84"/>
      <c r="I36" s="67">
        <f t="shared" si="26"/>
        <v>0</v>
      </c>
      <c r="J36" s="67">
        <f t="shared" si="27"/>
        <v>0</v>
      </c>
      <c r="K36" s="67">
        <f t="shared" si="28"/>
        <v>0</v>
      </c>
      <c r="L36" s="67">
        <v>0.00096</v>
      </c>
      <c r="M36" s="67">
        <f t="shared" si="29"/>
        <v>0.0247488</v>
      </c>
      <c r="N36" s="21" t="s">
        <v>212</v>
      </c>
      <c r="Z36" s="67">
        <f t="shared" si="30"/>
        <v>0</v>
      </c>
      <c r="AB36" s="67">
        <f t="shared" si="31"/>
        <v>0</v>
      </c>
      <c r="AC36" s="67">
        <f t="shared" si="32"/>
        <v>0</v>
      </c>
      <c r="AD36" s="67">
        <f t="shared" si="33"/>
        <v>0</v>
      </c>
      <c r="AE36" s="67">
        <f t="shared" si="34"/>
        <v>0</v>
      </c>
      <c r="AF36" s="67">
        <f t="shared" si="35"/>
        <v>0</v>
      </c>
      <c r="AG36" s="67">
        <f t="shared" si="36"/>
        <v>0</v>
      </c>
      <c r="AH36" s="67">
        <f t="shared" si="37"/>
        <v>0</v>
      </c>
      <c r="AI36" s="16" t="s">
        <v>171</v>
      </c>
      <c r="AJ36" s="67">
        <f t="shared" si="38"/>
        <v>0</v>
      </c>
      <c r="AK36" s="67">
        <f t="shared" si="39"/>
        <v>0</v>
      </c>
      <c r="AL36" s="67">
        <f t="shared" si="40"/>
        <v>0</v>
      </c>
      <c r="AN36" s="67">
        <v>21</v>
      </c>
      <c r="AO36" s="67">
        <f>H36*1</f>
        <v>0</v>
      </c>
      <c r="AP36" s="67">
        <f>H36*(1-1)</f>
        <v>0</v>
      </c>
      <c r="AQ36" s="30" t="s">
        <v>256</v>
      </c>
      <c r="AV36" s="67">
        <f t="shared" si="41"/>
        <v>0</v>
      </c>
      <c r="AW36" s="67">
        <f t="shared" si="42"/>
        <v>0</v>
      </c>
      <c r="AX36" s="67">
        <f t="shared" si="43"/>
        <v>0</v>
      </c>
      <c r="AY36" s="30" t="s">
        <v>147</v>
      </c>
      <c r="AZ36" s="30" t="s">
        <v>43</v>
      </c>
      <c r="BA36" s="16" t="s">
        <v>191</v>
      </c>
      <c r="BC36" s="67">
        <f t="shared" si="44"/>
        <v>0</v>
      </c>
      <c r="BD36" s="67">
        <f t="shared" si="45"/>
        <v>0</v>
      </c>
      <c r="BE36" s="67">
        <v>0</v>
      </c>
      <c r="BF36" s="67">
        <f t="shared" si="46"/>
        <v>0.0247488</v>
      </c>
      <c r="BH36" s="67">
        <f t="shared" si="47"/>
        <v>0</v>
      </c>
      <c r="BI36" s="67">
        <f t="shared" si="48"/>
        <v>0</v>
      </c>
      <c r="BJ36" s="67">
        <f t="shared" si="49"/>
        <v>0</v>
      </c>
      <c r="BK36" s="67"/>
      <c r="BL36" s="67">
        <v>21</v>
      </c>
    </row>
    <row r="37" spans="1:64" ht="15" customHeight="1">
      <c r="A37" s="34" t="s">
        <v>8</v>
      </c>
      <c r="B37" s="4" t="s">
        <v>171</v>
      </c>
      <c r="C37" s="4" t="s">
        <v>89</v>
      </c>
      <c r="D37" s="92" t="s">
        <v>225</v>
      </c>
      <c r="E37" s="92"/>
      <c r="F37" s="4" t="s">
        <v>253</v>
      </c>
      <c r="G37" s="67">
        <v>142.176</v>
      </c>
      <c r="H37" s="84"/>
      <c r="I37" s="67">
        <f t="shared" si="26"/>
        <v>0</v>
      </c>
      <c r="J37" s="67">
        <f t="shared" si="27"/>
        <v>0</v>
      </c>
      <c r="K37" s="67">
        <f t="shared" si="28"/>
        <v>0</v>
      </c>
      <c r="L37" s="67">
        <v>4E-05</v>
      </c>
      <c r="M37" s="67">
        <f t="shared" si="29"/>
        <v>0.00568704</v>
      </c>
      <c r="N37" s="21" t="s">
        <v>212</v>
      </c>
      <c r="Z37" s="67">
        <f t="shared" si="30"/>
        <v>0</v>
      </c>
      <c r="AB37" s="67">
        <f t="shared" si="31"/>
        <v>0</v>
      </c>
      <c r="AC37" s="67">
        <f t="shared" si="32"/>
        <v>0</v>
      </c>
      <c r="AD37" s="67">
        <f t="shared" si="33"/>
        <v>0</v>
      </c>
      <c r="AE37" s="67">
        <f t="shared" si="34"/>
        <v>0</v>
      </c>
      <c r="AF37" s="67">
        <f t="shared" si="35"/>
        <v>0</v>
      </c>
      <c r="AG37" s="67">
        <f t="shared" si="36"/>
        <v>0</v>
      </c>
      <c r="AH37" s="67">
        <f t="shared" si="37"/>
        <v>0</v>
      </c>
      <c r="AI37" s="16" t="s">
        <v>171</v>
      </c>
      <c r="AJ37" s="67">
        <f t="shared" si="38"/>
        <v>0</v>
      </c>
      <c r="AK37" s="67">
        <f t="shared" si="39"/>
        <v>0</v>
      </c>
      <c r="AL37" s="67">
        <f t="shared" si="40"/>
        <v>0</v>
      </c>
      <c r="AN37" s="67">
        <v>21</v>
      </c>
      <c r="AO37" s="67">
        <f>H37*0.0306620299231702</f>
        <v>0</v>
      </c>
      <c r="AP37" s="67">
        <f>H37*(1-0.0306620299231702)</f>
        <v>0</v>
      </c>
      <c r="AQ37" s="30" t="s">
        <v>256</v>
      </c>
      <c r="AV37" s="67">
        <f t="shared" si="41"/>
        <v>0</v>
      </c>
      <c r="AW37" s="67">
        <f t="shared" si="42"/>
        <v>0</v>
      </c>
      <c r="AX37" s="67">
        <f t="shared" si="43"/>
        <v>0</v>
      </c>
      <c r="AY37" s="30" t="s">
        <v>147</v>
      </c>
      <c r="AZ37" s="30" t="s">
        <v>43</v>
      </c>
      <c r="BA37" s="16" t="s">
        <v>191</v>
      </c>
      <c r="BC37" s="67">
        <f t="shared" si="44"/>
        <v>0</v>
      </c>
      <c r="BD37" s="67">
        <f t="shared" si="45"/>
        <v>0</v>
      </c>
      <c r="BE37" s="67">
        <v>0</v>
      </c>
      <c r="BF37" s="67">
        <f t="shared" si="46"/>
        <v>0.00568704</v>
      </c>
      <c r="BH37" s="67">
        <f t="shared" si="47"/>
        <v>0</v>
      </c>
      <c r="BI37" s="67">
        <f t="shared" si="48"/>
        <v>0</v>
      </c>
      <c r="BJ37" s="67">
        <f t="shared" si="49"/>
        <v>0</v>
      </c>
      <c r="BK37" s="67"/>
      <c r="BL37" s="67">
        <v>21</v>
      </c>
    </row>
    <row r="38" spans="1:64" ht="15" customHeight="1">
      <c r="A38" s="34" t="s">
        <v>178</v>
      </c>
      <c r="B38" s="4" t="s">
        <v>171</v>
      </c>
      <c r="C38" s="4" t="s">
        <v>101</v>
      </c>
      <c r="D38" s="92" t="s">
        <v>35</v>
      </c>
      <c r="E38" s="92"/>
      <c r="F38" s="4" t="s">
        <v>253</v>
      </c>
      <c r="G38" s="67">
        <v>156.3936</v>
      </c>
      <c r="H38" s="84"/>
      <c r="I38" s="67">
        <f t="shared" si="26"/>
        <v>0</v>
      </c>
      <c r="J38" s="67">
        <f t="shared" si="27"/>
        <v>0</v>
      </c>
      <c r="K38" s="67">
        <f t="shared" si="28"/>
        <v>0</v>
      </c>
      <c r="L38" s="67">
        <v>0.0003</v>
      </c>
      <c r="M38" s="67">
        <f t="shared" si="29"/>
        <v>0.046918079999999994</v>
      </c>
      <c r="N38" s="21" t="s">
        <v>212</v>
      </c>
      <c r="Z38" s="67">
        <f t="shared" si="30"/>
        <v>0</v>
      </c>
      <c r="AB38" s="67">
        <f t="shared" si="31"/>
        <v>0</v>
      </c>
      <c r="AC38" s="67">
        <f t="shared" si="32"/>
        <v>0</v>
      </c>
      <c r="AD38" s="67">
        <f t="shared" si="33"/>
        <v>0</v>
      </c>
      <c r="AE38" s="67">
        <f t="shared" si="34"/>
        <v>0</v>
      </c>
      <c r="AF38" s="67">
        <f t="shared" si="35"/>
        <v>0</v>
      </c>
      <c r="AG38" s="67">
        <f t="shared" si="36"/>
        <v>0</v>
      </c>
      <c r="AH38" s="67">
        <f t="shared" si="37"/>
        <v>0</v>
      </c>
      <c r="AI38" s="16" t="s">
        <v>171</v>
      </c>
      <c r="AJ38" s="67">
        <f t="shared" si="38"/>
        <v>0</v>
      </c>
      <c r="AK38" s="67">
        <f t="shared" si="39"/>
        <v>0</v>
      </c>
      <c r="AL38" s="67">
        <f t="shared" si="40"/>
        <v>0</v>
      </c>
      <c r="AN38" s="67">
        <v>21</v>
      </c>
      <c r="AO38" s="67">
        <f>H38*1</f>
        <v>0</v>
      </c>
      <c r="AP38" s="67">
        <f>H38*(1-1)</f>
        <v>0</v>
      </c>
      <c r="AQ38" s="30" t="s">
        <v>256</v>
      </c>
      <c r="AV38" s="67">
        <f t="shared" si="41"/>
        <v>0</v>
      </c>
      <c r="AW38" s="67">
        <f t="shared" si="42"/>
        <v>0</v>
      </c>
      <c r="AX38" s="67">
        <f t="shared" si="43"/>
        <v>0</v>
      </c>
      <c r="AY38" s="30" t="s">
        <v>147</v>
      </c>
      <c r="AZ38" s="30" t="s">
        <v>43</v>
      </c>
      <c r="BA38" s="16" t="s">
        <v>191</v>
      </c>
      <c r="BC38" s="67">
        <f t="shared" si="44"/>
        <v>0</v>
      </c>
      <c r="BD38" s="67">
        <f t="shared" si="45"/>
        <v>0</v>
      </c>
      <c r="BE38" s="67">
        <v>0</v>
      </c>
      <c r="BF38" s="67">
        <f t="shared" si="46"/>
        <v>0.046918079999999994</v>
      </c>
      <c r="BH38" s="67">
        <f t="shared" si="47"/>
        <v>0</v>
      </c>
      <c r="BI38" s="67">
        <f t="shared" si="48"/>
        <v>0</v>
      </c>
      <c r="BJ38" s="67">
        <f t="shared" si="49"/>
        <v>0</v>
      </c>
      <c r="BK38" s="67"/>
      <c r="BL38" s="67">
        <v>21</v>
      </c>
    </row>
    <row r="39" spans="1:64" ht="15" customHeight="1">
      <c r="A39" s="34" t="s">
        <v>245</v>
      </c>
      <c r="B39" s="4" t="s">
        <v>171</v>
      </c>
      <c r="C39" s="4" t="s">
        <v>107</v>
      </c>
      <c r="D39" s="92" t="s">
        <v>277</v>
      </c>
      <c r="E39" s="92"/>
      <c r="F39" s="4" t="s">
        <v>65</v>
      </c>
      <c r="G39" s="67">
        <v>16</v>
      </c>
      <c r="H39" s="84"/>
      <c r="I39" s="67">
        <f t="shared" si="26"/>
        <v>0</v>
      </c>
      <c r="J39" s="67">
        <f t="shared" si="27"/>
        <v>0</v>
      </c>
      <c r="K39" s="67">
        <f t="shared" si="28"/>
        <v>0</v>
      </c>
      <c r="L39" s="67">
        <v>0</v>
      </c>
      <c r="M39" s="67">
        <f t="shared" si="29"/>
        <v>0</v>
      </c>
      <c r="N39" s="21" t="s">
        <v>212</v>
      </c>
      <c r="Z39" s="67">
        <f t="shared" si="30"/>
        <v>0</v>
      </c>
      <c r="AB39" s="67">
        <f t="shared" si="31"/>
        <v>0</v>
      </c>
      <c r="AC39" s="67">
        <f t="shared" si="32"/>
        <v>0</v>
      </c>
      <c r="AD39" s="67">
        <f t="shared" si="33"/>
        <v>0</v>
      </c>
      <c r="AE39" s="67">
        <f t="shared" si="34"/>
        <v>0</v>
      </c>
      <c r="AF39" s="67">
        <f t="shared" si="35"/>
        <v>0</v>
      </c>
      <c r="AG39" s="67">
        <f t="shared" si="36"/>
        <v>0</v>
      </c>
      <c r="AH39" s="67">
        <f t="shared" si="37"/>
        <v>0</v>
      </c>
      <c r="AI39" s="16" t="s">
        <v>171</v>
      </c>
      <c r="AJ39" s="67">
        <f t="shared" si="38"/>
        <v>0</v>
      </c>
      <c r="AK39" s="67">
        <f t="shared" si="39"/>
        <v>0</v>
      </c>
      <c r="AL39" s="67">
        <f t="shared" si="40"/>
        <v>0</v>
      </c>
      <c r="AN39" s="67">
        <v>21</v>
      </c>
      <c r="AO39" s="67">
        <f>H39*0</f>
        <v>0</v>
      </c>
      <c r="AP39" s="67">
        <f>H39*(1-0)</f>
        <v>0</v>
      </c>
      <c r="AQ39" s="30" t="s">
        <v>256</v>
      </c>
      <c r="AV39" s="67">
        <f t="shared" si="41"/>
        <v>0</v>
      </c>
      <c r="AW39" s="67">
        <f t="shared" si="42"/>
        <v>0</v>
      </c>
      <c r="AX39" s="67">
        <f t="shared" si="43"/>
        <v>0</v>
      </c>
      <c r="AY39" s="30" t="s">
        <v>147</v>
      </c>
      <c r="AZ39" s="30" t="s">
        <v>43</v>
      </c>
      <c r="BA39" s="16" t="s">
        <v>191</v>
      </c>
      <c r="BC39" s="67">
        <f t="shared" si="44"/>
        <v>0</v>
      </c>
      <c r="BD39" s="67">
        <f t="shared" si="45"/>
        <v>0</v>
      </c>
      <c r="BE39" s="67">
        <v>0</v>
      </c>
      <c r="BF39" s="67">
        <f t="shared" si="46"/>
        <v>0</v>
      </c>
      <c r="BH39" s="67">
        <f t="shared" si="47"/>
        <v>0</v>
      </c>
      <c r="BI39" s="67">
        <f t="shared" si="48"/>
        <v>0</v>
      </c>
      <c r="BJ39" s="67">
        <f t="shared" si="49"/>
        <v>0</v>
      </c>
      <c r="BK39" s="67"/>
      <c r="BL39" s="67">
        <v>21</v>
      </c>
    </row>
    <row r="40" spans="1:64" ht="15" customHeight="1">
      <c r="A40" s="34" t="s">
        <v>116</v>
      </c>
      <c r="B40" s="4" t="s">
        <v>171</v>
      </c>
      <c r="C40" s="4" t="s">
        <v>281</v>
      </c>
      <c r="D40" s="92" t="s">
        <v>260</v>
      </c>
      <c r="E40" s="92"/>
      <c r="F40" s="4" t="s">
        <v>175</v>
      </c>
      <c r="G40" s="67">
        <v>16</v>
      </c>
      <c r="H40" s="84"/>
      <c r="I40" s="67">
        <f t="shared" si="26"/>
        <v>0</v>
      </c>
      <c r="J40" s="67">
        <f t="shared" si="27"/>
        <v>0</v>
      </c>
      <c r="K40" s="67">
        <f t="shared" si="28"/>
        <v>0</v>
      </c>
      <c r="L40" s="67">
        <v>0.146</v>
      </c>
      <c r="M40" s="67">
        <f t="shared" si="29"/>
        <v>2.336</v>
      </c>
      <c r="N40" s="21" t="s">
        <v>156</v>
      </c>
      <c r="Z40" s="67">
        <f t="shared" si="30"/>
        <v>0</v>
      </c>
      <c r="AB40" s="67">
        <f t="shared" si="31"/>
        <v>0</v>
      </c>
      <c r="AC40" s="67">
        <f t="shared" si="32"/>
        <v>0</v>
      </c>
      <c r="AD40" s="67">
        <f t="shared" si="33"/>
        <v>0</v>
      </c>
      <c r="AE40" s="67">
        <f t="shared" si="34"/>
        <v>0</v>
      </c>
      <c r="AF40" s="67">
        <f t="shared" si="35"/>
        <v>0</v>
      </c>
      <c r="AG40" s="67">
        <f t="shared" si="36"/>
        <v>0</v>
      </c>
      <c r="AH40" s="67">
        <f t="shared" si="37"/>
        <v>0</v>
      </c>
      <c r="AI40" s="16" t="s">
        <v>171</v>
      </c>
      <c r="AJ40" s="67">
        <f t="shared" si="38"/>
        <v>0</v>
      </c>
      <c r="AK40" s="67">
        <f t="shared" si="39"/>
        <v>0</v>
      </c>
      <c r="AL40" s="67">
        <f t="shared" si="40"/>
        <v>0</v>
      </c>
      <c r="AN40" s="67">
        <v>21</v>
      </c>
      <c r="AO40" s="67">
        <f>H40*1</f>
        <v>0</v>
      </c>
      <c r="AP40" s="67">
        <f>H40*(1-1)</f>
        <v>0</v>
      </c>
      <c r="AQ40" s="30" t="s">
        <v>256</v>
      </c>
      <c r="AV40" s="67">
        <f t="shared" si="41"/>
        <v>0</v>
      </c>
      <c r="AW40" s="67">
        <f t="shared" si="42"/>
        <v>0</v>
      </c>
      <c r="AX40" s="67">
        <f t="shared" si="43"/>
        <v>0</v>
      </c>
      <c r="AY40" s="30" t="s">
        <v>147</v>
      </c>
      <c r="AZ40" s="30" t="s">
        <v>43</v>
      </c>
      <c r="BA40" s="16" t="s">
        <v>191</v>
      </c>
      <c r="BC40" s="67">
        <f t="shared" si="44"/>
        <v>0</v>
      </c>
      <c r="BD40" s="67">
        <f t="shared" si="45"/>
        <v>0</v>
      </c>
      <c r="BE40" s="67">
        <v>0</v>
      </c>
      <c r="BF40" s="67">
        <f t="shared" si="46"/>
        <v>2.336</v>
      </c>
      <c r="BH40" s="67">
        <f t="shared" si="47"/>
        <v>0</v>
      </c>
      <c r="BI40" s="67">
        <f t="shared" si="48"/>
        <v>0</v>
      </c>
      <c r="BJ40" s="67">
        <f t="shared" si="49"/>
        <v>0</v>
      </c>
      <c r="BK40" s="67"/>
      <c r="BL40" s="67">
        <v>21</v>
      </c>
    </row>
    <row r="41" spans="1:64" ht="15" customHeight="1">
      <c r="A41" s="34" t="s">
        <v>23</v>
      </c>
      <c r="B41" s="4" t="s">
        <v>171</v>
      </c>
      <c r="C41" s="4" t="s">
        <v>146</v>
      </c>
      <c r="D41" s="92" t="s">
        <v>29</v>
      </c>
      <c r="E41" s="92"/>
      <c r="F41" s="4" t="s">
        <v>209</v>
      </c>
      <c r="G41" s="67">
        <v>28.36</v>
      </c>
      <c r="H41" s="84"/>
      <c r="I41" s="67">
        <f t="shared" si="26"/>
        <v>0</v>
      </c>
      <c r="J41" s="67">
        <f t="shared" si="27"/>
        <v>0</v>
      </c>
      <c r="K41" s="67">
        <f t="shared" si="28"/>
        <v>0</v>
      </c>
      <c r="L41" s="67">
        <v>0.00777</v>
      </c>
      <c r="M41" s="67">
        <f t="shared" si="29"/>
        <v>0.2203572</v>
      </c>
      <c r="N41" s="21" t="s">
        <v>212</v>
      </c>
      <c r="Z41" s="67">
        <f t="shared" si="30"/>
        <v>0</v>
      </c>
      <c r="AB41" s="67">
        <f t="shared" si="31"/>
        <v>0</v>
      </c>
      <c r="AC41" s="67">
        <f t="shared" si="32"/>
        <v>0</v>
      </c>
      <c r="AD41" s="67">
        <f t="shared" si="33"/>
        <v>0</v>
      </c>
      <c r="AE41" s="67">
        <f t="shared" si="34"/>
        <v>0</v>
      </c>
      <c r="AF41" s="67">
        <f t="shared" si="35"/>
        <v>0</v>
      </c>
      <c r="AG41" s="67">
        <f t="shared" si="36"/>
        <v>0</v>
      </c>
      <c r="AH41" s="67">
        <f t="shared" si="37"/>
        <v>0</v>
      </c>
      <c r="AI41" s="16" t="s">
        <v>171</v>
      </c>
      <c r="AJ41" s="67">
        <f t="shared" si="38"/>
        <v>0</v>
      </c>
      <c r="AK41" s="67">
        <f t="shared" si="39"/>
        <v>0</v>
      </c>
      <c r="AL41" s="67">
        <f t="shared" si="40"/>
        <v>0</v>
      </c>
      <c r="AN41" s="67">
        <v>21</v>
      </c>
      <c r="AO41" s="67">
        <f>H41*0.904229885057471</f>
        <v>0</v>
      </c>
      <c r="AP41" s="67">
        <f>H41*(1-0.904229885057471)</f>
        <v>0</v>
      </c>
      <c r="AQ41" s="30" t="s">
        <v>256</v>
      </c>
      <c r="AV41" s="67">
        <f t="shared" si="41"/>
        <v>0</v>
      </c>
      <c r="AW41" s="67">
        <f t="shared" si="42"/>
        <v>0</v>
      </c>
      <c r="AX41" s="67">
        <f t="shared" si="43"/>
        <v>0</v>
      </c>
      <c r="AY41" s="30" t="s">
        <v>147</v>
      </c>
      <c r="AZ41" s="30" t="s">
        <v>43</v>
      </c>
      <c r="BA41" s="16" t="s">
        <v>191</v>
      </c>
      <c r="BC41" s="67">
        <f t="shared" si="44"/>
        <v>0</v>
      </c>
      <c r="BD41" s="67">
        <f t="shared" si="45"/>
        <v>0</v>
      </c>
      <c r="BE41" s="67">
        <v>0</v>
      </c>
      <c r="BF41" s="67">
        <f t="shared" si="46"/>
        <v>0.2203572</v>
      </c>
      <c r="BH41" s="67">
        <f t="shared" si="47"/>
        <v>0</v>
      </c>
      <c r="BI41" s="67">
        <f t="shared" si="48"/>
        <v>0</v>
      </c>
      <c r="BJ41" s="67">
        <f t="shared" si="49"/>
        <v>0</v>
      </c>
      <c r="BK41" s="67"/>
      <c r="BL41" s="67">
        <v>21</v>
      </c>
    </row>
    <row r="42" spans="1:64" ht="15" customHeight="1">
      <c r="A42" s="34" t="s">
        <v>64</v>
      </c>
      <c r="B42" s="4" t="s">
        <v>171</v>
      </c>
      <c r="C42" s="4" t="s">
        <v>227</v>
      </c>
      <c r="D42" s="92" t="s">
        <v>163</v>
      </c>
      <c r="E42" s="92"/>
      <c r="F42" s="4" t="s">
        <v>119</v>
      </c>
      <c r="G42" s="67">
        <v>29.09597</v>
      </c>
      <c r="H42" s="84"/>
      <c r="I42" s="67">
        <f t="shared" si="26"/>
        <v>0</v>
      </c>
      <c r="J42" s="67">
        <f t="shared" si="27"/>
        <v>0</v>
      </c>
      <c r="K42" s="67">
        <f t="shared" si="28"/>
        <v>0</v>
      </c>
      <c r="L42" s="67">
        <v>0</v>
      </c>
      <c r="M42" s="67">
        <f t="shared" si="29"/>
        <v>0</v>
      </c>
      <c r="N42" s="21" t="s">
        <v>212</v>
      </c>
      <c r="Z42" s="67">
        <f t="shared" si="30"/>
        <v>0</v>
      </c>
      <c r="AB42" s="67">
        <f t="shared" si="31"/>
        <v>0</v>
      </c>
      <c r="AC42" s="67">
        <f t="shared" si="32"/>
        <v>0</v>
      </c>
      <c r="AD42" s="67">
        <f t="shared" si="33"/>
        <v>0</v>
      </c>
      <c r="AE42" s="67">
        <f t="shared" si="34"/>
        <v>0</v>
      </c>
      <c r="AF42" s="67">
        <f t="shared" si="35"/>
        <v>0</v>
      </c>
      <c r="AG42" s="67">
        <f t="shared" si="36"/>
        <v>0</v>
      </c>
      <c r="AH42" s="67">
        <f t="shared" si="37"/>
        <v>0</v>
      </c>
      <c r="AI42" s="16" t="s">
        <v>171</v>
      </c>
      <c r="AJ42" s="67">
        <f t="shared" si="38"/>
        <v>0</v>
      </c>
      <c r="AK42" s="67">
        <f t="shared" si="39"/>
        <v>0</v>
      </c>
      <c r="AL42" s="67">
        <f t="shared" si="40"/>
        <v>0</v>
      </c>
      <c r="AN42" s="67">
        <v>21</v>
      </c>
      <c r="AO42" s="67">
        <f>H42*0</f>
        <v>0</v>
      </c>
      <c r="AP42" s="67">
        <f>H42*(1-0)</f>
        <v>0</v>
      </c>
      <c r="AQ42" s="30" t="s">
        <v>134</v>
      </c>
      <c r="AV42" s="67">
        <f t="shared" si="41"/>
        <v>0</v>
      </c>
      <c r="AW42" s="67">
        <f t="shared" si="42"/>
        <v>0</v>
      </c>
      <c r="AX42" s="67">
        <f t="shared" si="43"/>
        <v>0</v>
      </c>
      <c r="AY42" s="30" t="s">
        <v>147</v>
      </c>
      <c r="AZ42" s="30" t="s">
        <v>43</v>
      </c>
      <c r="BA42" s="16" t="s">
        <v>191</v>
      </c>
      <c r="BC42" s="67">
        <f t="shared" si="44"/>
        <v>0</v>
      </c>
      <c r="BD42" s="67">
        <f t="shared" si="45"/>
        <v>0</v>
      </c>
      <c r="BE42" s="67">
        <v>0</v>
      </c>
      <c r="BF42" s="67">
        <f t="shared" si="46"/>
        <v>0</v>
      </c>
      <c r="BH42" s="67">
        <f t="shared" si="47"/>
        <v>0</v>
      </c>
      <c r="BI42" s="67">
        <f t="shared" si="48"/>
        <v>0</v>
      </c>
      <c r="BJ42" s="67">
        <f t="shared" si="49"/>
        <v>0</v>
      </c>
      <c r="BK42" s="67"/>
      <c r="BL42" s="67">
        <v>21</v>
      </c>
    </row>
    <row r="43" spans="1:47" ht="15" customHeight="1">
      <c r="A43" s="22" t="s">
        <v>171</v>
      </c>
      <c r="B43" s="3" t="s">
        <v>171</v>
      </c>
      <c r="C43" s="3" t="s">
        <v>251</v>
      </c>
      <c r="D43" s="154" t="s">
        <v>208</v>
      </c>
      <c r="E43" s="154"/>
      <c r="F43" s="50" t="s">
        <v>239</v>
      </c>
      <c r="G43" s="50" t="s">
        <v>239</v>
      </c>
      <c r="H43" s="50" t="s">
        <v>239</v>
      </c>
      <c r="I43" s="70">
        <f>SUM(I44:I48)</f>
        <v>0</v>
      </c>
      <c r="J43" s="70">
        <f>SUM(J44:J48)</f>
        <v>0</v>
      </c>
      <c r="K43" s="70">
        <f>SUM(K44:K48)</f>
        <v>0</v>
      </c>
      <c r="L43" s="16" t="s">
        <v>171</v>
      </c>
      <c r="M43" s="70">
        <f>SUM(M44:M48)</f>
        <v>0.940653456</v>
      </c>
      <c r="N43" s="74" t="s">
        <v>171</v>
      </c>
      <c r="AI43" s="16" t="s">
        <v>171</v>
      </c>
      <c r="AS43" s="70">
        <f>SUM(AJ44:AJ48)</f>
        <v>0</v>
      </c>
      <c r="AT43" s="70">
        <f>SUM(AK44:AK48)</f>
        <v>0</v>
      </c>
      <c r="AU43" s="70">
        <f>SUM(AL44:AL48)</f>
        <v>0</v>
      </c>
    </row>
    <row r="44" spans="1:64" ht="15" customHeight="1">
      <c r="A44" s="34" t="s">
        <v>36</v>
      </c>
      <c r="B44" s="4" t="s">
        <v>171</v>
      </c>
      <c r="C44" s="4" t="s">
        <v>50</v>
      </c>
      <c r="D44" s="92" t="s">
        <v>25</v>
      </c>
      <c r="E44" s="92"/>
      <c r="F44" s="4" t="s">
        <v>248</v>
      </c>
      <c r="G44" s="67">
        <v>0.37234</v>
      </c>
      <c r="H44" s="84"/>
      <c r="I44" s="67">
        <f>G44*AO44</f>
        <v>0</v>
      </c>
      <c r="J44" s="67">
        <f>G44*AP44</f>
        <v>0</v>
      </c>
      <c r="K44" s="67">
        <f>G44*H44</f>
        <v>0</v>
      </c>
      <c r="L44" s="67">
        <v>2.525</v>
      </c>
      <c r="M44" s="67">
        <f>G44*L44</f>
        <v>0.9401585</v>
      </c>
      <c r="N44" s="21" t="s">
        <v>212</v>
      </c>
      <c r="Z44" s="67">
        <f>IF(AQ44="5",BJ44,0)</f>
        <v>0</v>
      </c>
      <c r="AB44" s="67">
        <f>IF(AQ44="1",BH44,0)</f>
        <v>0</v>
      </c>
      <c r="AC44" s="67">
        <f>IF(AQ44="1",BI44,0)</f>
        <v>0</v>
      </c>
      <c r="AD44" s="67">
        <f>IF(AQ44="7",BH44,0)</f>
        <v>0</v>
      </c>
      <c r="AE44" s="67">
        <f>IF(AQ44="7",BI44,0)</f>
        <v>0</v>
      </c>
      <c r="AF44" s="67">
        <f>IF(AQ44="2",BH44,0)</f>
        <v>0</v>
      </c>
      <c r="AG44" s="67">
        <f>IF(AQ44="2",BI44,0)</f>
        <v>0</v>
      </c>
      <c r="AH44" s="67">
        <f>IF(AQ44="0",BJ44,0)</f>
        <v>0</v>
      </c>
      <c r="AI44" s="16" t="s">
        <v>171</v>
      </c>
      <c r="AJ44" s="67">
        <f>IF(AN44=0,K44,0)</f>
        <v>0</v>
      </c>
      <c r="AK44" s="67">
        <f>IF(AN44=15,K44,0)</f>
        <v>0</v>
      </c>
      <c r="AL44" s="67">
        <f>IF(AN44=21,K44,0)</f>
        <v>0</v>
      </c>
      <c r="AN44" s="67">
        <v>21</v>
      </c>
      <c r="AO44" s="67">
        <f>H44*0.922859766693273</f>
        <v>0</v>
      </c>
      <c r="AP44" s="67">
        <f>H44*(1-0.922859766693273)</f>
        <v>0</v>
      </c>
      <c r="AQ44" s="30" t="s">
        <v>256</v>
      </c>
      <c r="AV44" s="67">
        <f>AW44+AX44</f>
        <v>0</v>
      </c>
      <c r="AW44" s="67">
        <f>G44*AO44</f>
        <v>0</v>
      </c>
      <c r="AX44" s="67">
        <f>G44*AP44</f>
        <v>0</v>
      </c>
      <c r="AY44" s="30" t="s">
        <v>165</v>
      </c>
      <c r="AZ44" s="30" t="s">
        <v>43</v>
      </c>
      <c r="BA44" s="16" t="s">
        <v>191</v>
      </c>
      <c r="BC44" s="67">
        <f>AW44+AX44</f>
        <v>0</v>
      </c>
      <c r="BD44" s="67">
        <f>H44/(100-BE44)*100</f>
        <v>0</v>
      </c>
      <c r="BE44" s="67">
        <v>0</v>
      </c>
      <c r="BF44" s="67">
        <f>M44</f>
        <v>0.9401585</v>
      </c>
      <c r="BH44" s="67">
        <f>G44*AO44</f>
        <v>0</v>
      </c>
      <c r="BI44" s="67">
        <f>G44*AP44</f>
        <v>0</v>
      </c>
      <c r="BJ44" s="67">
        <f>G44*H44</f>
        <v>0</v>
      </c>
      <c r="BK44" s="67"/>
      <c r="BL44" s="67">
        <v>27</v>
      </c>
    </row>
    <row r="45" spans="1:14" ht="13.5" customHeight="1">
      <c r="A45" s="25"/>
      <c r="C45" s="63" t="s">
        <v>128</v>
      </c>
      <c r="D45" s="155" t="s">
        <v>173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7"/>
    </row>
    <row r="46" spans="1:64" ht="15" customHeight="1">
      <c r="A46" s="34" t="s">
        <v>251</v>
      </c>
      <c r="B46" s="4" t="s">
        <v>171</v>
      </c>
      <c r="C46" s="4" t="s">
        <v>93</v>
      </c>
      <c r="D46" s="92" t="s">
        <v>221</v>
      </c>
      <c r="E46" s="92"/>
      <c r="F46" s="4" t="s">
        <v>253</v>
      </c>
      <c r="G46" s="67">
        <v>2.47478</v>
      </c>
      <c r="H46" s="84"/>
      <c r="I46" s="67">
        <f>G46*AO46</f>
        <v>0</v>
      </c>
      <c r="J46" s="67">
        <f>G46*AP46</f>
        <v>0</v>
      </c>
      <c r="K46" s="67">
        <f>G46*H46</f>
        <v>0</v>
      </c>
      <c r="L46" s="67">
        <v>0.0002</v>
      </c>
      <c r="M46" s="67">
        <f>G46*L46</f>
        <v>0.0004949560000000001</v>
      </c>
      <c r="N46" s="21" t="s">
        <v>212</v>
      </c>
      <c r="Z46" s="67">
        <f>IF(AQ46="5",BJ46,0)</f>
        <v>0</v>
      </c>
      <c r="AB46" s="67">
        <f>IF(AQ46="1",BH46,0)</f>
        <v>0</v>
      </c>
      <c r="AC46" s="67">
        <f>IF(AQ46="1",BI46,0)</f>
        <v>0</v>
      </c>
      <c r="AD46" s="67">
        <f>IF(AQ46="7",BH46,0)</f>
        <v>0</v>
      </c>
      <c r="AE46" s="67">
        <f>IF(AQ46="7",BI46,0)</f>
        <v>0</v>
      </c>
      <c r="AF46" s="67">
        <f>IF(AQ46="2",BH46,0)</f>
        <v>0</v>
      </c>
      <c r="AG46" s="67">
        <f>IF(AQ46="2",BI46,0)</f>
        <v>0</v>
      </c>
      <c r="AH46" s="67">
        <f>IF(AQ46="0",BJ46,0)</f>
        <v>0</v>
      </c>
      <c r="AI46" s="16" t="s">
        <v>171</v>
      </c>
      <c r="AJ46" s="67">
        <f>IF(AN46=0,K46,0)</f>
        <v>0</v>
      </c>
      <c r="AK46" s="67">
        <f>IF(AN46=15,K46,0)</f>
        <v>0</v>
      </c>
      <c r="AL46" s="67">
        <f>IF(AN46=21,K46,0)</f>
        <v>0</v>
      </c>
      <c r="AN46" s="67">
        <v>21</v>
      </c>
      <c r="AO46" s="67">
        <f>H46*0.0287105425494963</f>
        <v>0</v>
      </c>
      <c r="AP46" s="67">
        <f>H46*(1-0.0287105425494963)</f>
        <v>0</v>
      </c>
      <c r="AQ46" s="30" t="s">
        <v>256</v>
      </c>
      <c r="AV46" s="67">
        <f>AW46+AX46</f>
        <v>0</v>
      </c>
      <c r="AW46" s="67">
        <f>G46*AO46</f>
        <v>0</v>
      </c>
      <c r="AX46" s="67">
        <f>G46*AP46</f>
        <v>0</v>
      </c>
      <c r="AY46" s="30" t="s">
        <v>165</v>
      </c>
      <c r="AZ46" s="30" t="s">
        <v>43</v>
      </c>
      <c r="BA46" s="16" t="s">
        <v>191</v>
      </c>
      <c r="BC46" s="67">
        <f>AW46+AX46</f>
        <v>0</v>
      </c>
      <c r="BD46" s="67">
        <f>H46/(100-BE46)*100</f>
        <v>0</v>
      </c>
      <c r="BE46" s="67">
        <v>0</v>
      </c>
      <c r="BF46" s="67">
        <f>M46</f>
        <v>0.0004949560000000001</v>
      </c>
      <c r="BH46" s="67">
        <f>G46*AO46</f>
        <v>0</v>
      </c>
      <c r="BI46" s="67">
        <f>G46*AP46</f>
        <v>0</v>
      </c>
      <c r="BJ46" s="67">
        <f>G46*H46</f>
        <v>0</v>
      </c>
      <c r="BK46" s="67"/>
      <c r="BL46" s="67">
        <v>27</v>
      </c>
    </row>
    <row r="47" spans="1:64" ht="15" customHeight="1">
      <c r="A47" s="34" t="s">
        <v>283</v>
      </c>
      <c r="B47" s="4" t="s">
        <v>171</v>
      </c>
      <c r="C47" s="4" t="s">
        <v>231</v>
      </c>
      <c r="D47" s="92" t="s">
        <v>58</v>
      </c>
      <c r="E47" s="92"/>
      <c r="F47" s="4" t="s">
        <v>253</v>
      </c>
      <c r="G47" s="67">
        <v>2.47478</v>
      </c>
      <c r="H47" s="84"/>
      <c r="I47" s="67">
        <f>G47*AO47</f>
        <v>0</v>
      </c>
      <c r="J47" s="67">
        <f>G47*AP47</f>
        <v>0</v>
      </c>
      <c r="K47" s="67">
        <f>G47*H47</f>
        <v>0</v>
      </c>
      <c r="L47" s="67">
        <v>0</v>
      </c>
      <c r="M47" s="67">
        <f>G47*L47</f>
        <v>0</v>
      </c>
      <c r="N47" s="21" t="s">
        <v>212</v>
      </c>
      <c r="Z47" s="67">
        <f>IF(AQ47="5",BJ47,0)</f>
        <v>0</v>
      </c>
      <c r="AB47" s="67">
        <f>IF(AQ47="1",BH47,0)</f>
        <v>0</v>
      </c>
      <c r="AC47" s="67">
        <f>IF(AQ47="1",BI47,0)</f>
        <v>0</v>
      </c>
      <c r="AD47" s="67">
        <f>IF(AQ47="7",BH47,0)</f>
        <v>0</v>
      </c>
      <c r="AE47" s="67">
        <f>IF(AQ47="7",BI47,0)</f>
        <v>0</v>
      </c>
      <c r="AF47" s="67">
        <f>IF(AQ47="2",BH47,0)</f>
        <v>0</v>
      </c>
      <c r="AG47" s="67">
        <f>IF(AQ47="2",BI47,0)</f>
        <v>0</v>
      </c>
      <c r="AH47" s="67">
        <f>IF(AQ47="0",BJ47,0)</f>
        <v>0</v>
      </c>
      <c r="AI47" s="16" t="s">
        <v>171</v>
      </c>
      <c r="AJ47" s="67">
        <f>IF(AN47=0,K47,0)</f>
        <v>0</v>
      </c>
      <c r="AK47" s="67">
        <f>IF(AN47=15,K47,0)</f>
        <v>0</v>
      </c>
      <c r="AL47" s="67">
        <f>IF(AN47=21,K47,0)</f>
        <v>0</v>
      </c>
      <c r="AN47" s="67">
        <v>21</v>
      </c>
      <c r="AO47" s="67">
        <f>H47*0</f>
        <v>0</v>
      </c>
      <c r="AP47" s="67">
        <f>H47*(1-0)</f>
        <v>0</v>
      </c>
      <c r="AQ47" s="30" t="s">
        <v>256</v>
      </c>
      <c r="AV47" s="67">
        <f>AW47+AX47</f>
        <v>0</v>
      </c>
      <c r="AW47" s="67">
        <f>G47*AO47</f>
        <v>0</v>
      </c>
      <c r="AX47" s="67">
        <f>G47*AP47</f>
        <v>0</v>
      </c>
      <c r="AY47" s="30" t="s">
        <v>165</v>
      </c>
      <c r="AZ47" s="30" t="s">
        <v>43</v>
      </c>
      <c r="BA47" s="16" t="s">
        <v>191</v>
      </c>
      <c r="BC47" s="67">
        <f>AW47+AX47</f>
        <v>0</v>
      </c>
      <c r="BD47" s="67">
        <f>H47/(100-BE47)*100</f>
        <v>0</v>
      </c>
      <c r="BE47" s="67">
        <v>0</v>
      </c>
      <c r="BF47" s="67">
        <f>M47</f>
        <v>0</v>
      </c>
      <c r="BH47" s="67">
        <f>G47*AO47</f>
        <v>0</v>
      </c>
      <c r="BI47" s="67">
        <f>G47*AP47</f>
        <v>0</v>
      </c>
      <c r="BJ47" s="67">
        <f>G47*H47</f>
        <v>0</v>
      </c>
      <c r="BK47" s="67"/>
      <c r="BL47" s="67">
        <v>27</v>
      </c>
    </row>
    <row r="48" spans="1:64" ht="15" customHeight="1">
      <c r="A48" s="34" t="s">
        <v>14</v>
      </c>
      <c r="B48" s="4" t="s">
        <v>171</v>
      </c>
      <c r="C48" s="4" t="s">
        <v>284</v>
      </c>
      <c r="D48" s="92" t="s">
        <v>98</v>
      </c>
      <c r="E48" s="92"/>
      <c r="F48" s="4" t="s">
        <v>119</v>
      </c>
      <c r="G48" s="67">
        <v>0.94065</v>
      </c>
      <c r="H48" s="84"/>
      <c r="I48" s="67">
        <f>G48*AO48</f>
        <v>0</v>
      </c>
      <c r="J48" s="67">
        <f>G48*AP48</f>
        <v>0</v>
      </c>
      <c r="K48" s="67">
        <f>G48*H48</f>
        <v>0</v>
      </c>
      <c r="L48" s="67">
        <v>0</v>
      </c>
      <c r="M48" s="67">
        <f>G48*L48</f>
        <v>0</v>
      </c>
      <c r="N48" s="21" t="s">
        <v>212</v>
      </c>
      <c r="Z48" s="67">
        <f>IF(AQ48="5",BJ48,0)</f>
        <v>0</v>
      </c>
      <c r="AB48" s="67">
        <f>IF(AQ48="1",BH48,0)</f>
        <v>0</v>
      </c>
      <c r="AC48" s="67">
        <f>IF(AQ48="1",BI48,0)</f>
        <v>0</v>
      </c>
      <c r="AD48" s="67">
        <f>IF(AQ48="7",BH48,0)</f>
        <v>0</v>
      </c>
      <c r="AE48" s="67">
        <f>IF(AQ48="7",BI48,0)</f>
        <v>0</v>
      </c>
      <c r="AF48" s="67">
        <f>IF(AQ48="2",BH48,0)</f>
        <v>0</v>
      </c>
      <c r="AG48" s="67">
        <f>IF(AQ48="2",BI48,0)</f>
        <v>0</v>
      </c>
      <c r="AH48" s="67">
        <f>IF(AQ48="0",BJ48,0)</f>
        <v>0</v>
      </c>
      <c r="AI48" s="16" t="s">
        <v>171</v>
      </c>
      <c r="AJ48" s="67">
        <f>IF(AN48=0,K48,0)</f>
        <v>0</v>
      </c>
      <c r="AK48" s="67">
        <f>IF(AN48=15,K48,0)</f>
        <v>0</v>
      </c>
      <c r="AL48" s="67">
        <f>IF(AN48=21,K48,0)</f>
        <v>0</v>
      </c>
      <c r="AN48" s="67">
        <v>21</v>
      </c>
      <c r="AO48" s="67">
        <f>H48*0</f>
        <v>0</v>
      </c>
      <c r="AP48" s="67">
        <f>H48*(1-0)</f>
        <v>0</v>
      </c>
      <c r="AQ48" s="30" t="s">
        <v>134</v>
      </c>
      <c r="AV48" s="67">
        <f>AW48+AX48</f>
        <v>0</v>
      </c>
      <c r="AW48" s="67">
        <f>G48*AO48</f>
        <v>0</v>
      </c>
      <c r="AX48" s="67">
        <f>G48*AP48</f>
        <v>0</v>
      </c>
      <c r="AY48" s="30" t="s">
        <v>165</v>
      </c>
      <c r="AZ48" s="30" t="s">
        <v>43</v>
      </c>
      <c r="BA48" s="16" t="s">
        <v>191</v>
      </c>
      <c r="BC48" s="67">
        <f>AW48+AX48</f>
        <v>0</v>
      </c>
      <c r="BD48" s="67">
        <f>H48/(100-BE48)*100</f>
        <v>0</v>
      </c>
      <c r="BE48" s="67">
        <v>0</v>
      </c>
      <c r="BF48" s="67">
        <f>M48</f>
        <v>0</v>
      </c>
      <c r="BH48" s="67">
        <f>G48*AO48</f>
        <v>0</v>
      </c>
      <c r="BI48" s="67">
        <f>G48*AP48</f>
        <v>0</v>
      </c>
      <c r="BJ48" s="67">
        <f>G48*H48</f>
        <v>0</v>
      </c>
      <c r="BK48" s="67"/>
      <c r="BL48" s="67">
        <v>27</v>
      </c>
    </row>
    <row r="49" spans="1:47" ht="15" customHeight="1">
      <c r="A49" s="22" t="s">
        <v>171</v>
      </c>
      <c r="B49" s="3" t="s">
        <v>171</v>
      </c>
      <c r="C49" s="3" t="s">
        <v>135</v>
      </c>
      <c r="D49" s="154" t="s">
        <v>118</v>
      </c>
      <c r="E49" s="154"/>
      <c r="F49" s="50" t="s">
        <v>239</v>
      </c>
      <c r="G49" s="50" t="s">
        <v>239</v>
      </c>
      <c r="H49" s="50" t="s">
        <v>239</v>
      </c>
      <c r="I49" s="70">
        <f>SUM(I50:I53)</f>
        <v>0</v>
      </c>
      <c r="J49" s="70">
        <f>SUM(J50:J53)</f>
        <v>0</v>
      </c>
      <c r="K49" s="70">
        <f>SUM(K50:K53)</f>
        <v>0</v>
      </c>
      <c r="L49" s="16" t="s">
        <v>171</v>
      </c>
      <c r="M49" s="70">
        <f>SUM(M50:M53)</f>
        <v>0.792396</v>
      </c>
      <c r="N49" s="74" t="s">
        <v>171</v>
      </c>
      <c r="AI49" s="16" t="s">
        <v>171</v>
      </c>
      <c r="AS49" s="70">
        <f>SUM(AJ50:AJ53)</f>
        <v>0</v>
      </c>
      <c r="AT49" s="70">
        <f>SUM(AK50:AK53)</f>
        <v>0</v>
      </c>
      <c r="AU49" s="70">
        <f>SUM(AL50:AL53)</f>
        <v>0</v>
      </c>
    </row>
    <row r="50" spans="1:64" ht="15" customHeight="1">
      <c r="A50" s="34" t="s">
        <v>155</v>
      </c>
      <c r="B50" s="4" t="s">
        <v>171</v>
      </c>
      <c r="C50" s="4" t="s">
        <v>45</v>
      </c>
      <c r="D50" s="92" t="s">
        <v>267</v>
      </c>
      <c r="E50" s="92"/>
      <c r="F50" s="4" t="s">
        <v>253</v>
      </c>
      <c r="G50" s="67">
        <v>6.28</v>
      </c>
      <c r="H50" s="84"/>
      <c r="I50" s="67">
        <f>G50*AO50</f>
        <v>0</v>
      </c>
      <c r="J50" s="67">
        <f>G50*AP50</f>
        <v>0</v>
      </c>
      <c r="K50" s="67">
        <f>G50*H50</f>
        <v>0</v>
      </c>
      <c r="L50" s="67">
        <v>0.03045</v>
      </c>
      <c r="M50" s="67">
        <f>G50*L50</f>
        <v>0.191226</v>
      </c>
      <c r="N50" s="21" t="s">
        <v>212</v>
      </c>
      <c r="Z50" s="67">
        <f>IF(AQ50="5",BJ50,0)</f>
        <v>0</v>
      </c>
      <c r="AB50" s="67">
        <f>IF(AQ50="1",BH50,0)</f>
        <v>0</v>
      </c>
      <c r="AC50" s="67">
        <f>IF(AQ50="1",BI50,0)</f>
        <v>0</v>
      </c>
      <c r="AD50" s="67">
        <f>IF(AQ50="7",BH50,0)</f>
        <v>0</v>
      </c>
      <c r="AE50" s="67">
        <f>IF(AQ50="7",BI50,0)</f>
        <v>0</v>
      </c>
      <c r="AF50" s="67">
        <f>IF(AQ50="2",BH50,0)</f>
        <v>0</v>
      </c>
      <c r="AG50" s="67">
        <f>IF(AQ50="2",BI50,0)</f>
        <v>0</v>
      </c>
      <c r="AH50" s="67">
        <f>IF(AQ50="0",BJ50,0)</f>
        <v>0</v>
      </c>
      <c r="AI50" s="16" t="s">
        <v>171</v>
      </c>
      <c r="AJ50" s="67">
        <f>IF(AN50=0,K50,0)</f>
        <v>0</v>
      </c>
      <c r="AK50" s="67">
        <f>IF(AN50=15,K50,0)</f>
        <v>0</v>
      </c>
      <c r="AL50" s="67">
        <f>IF(AN50=21,K50,0)</f>
        <v>0</v>
      </c>
      <c r="AN50" s="67">
        <v>21</v>
      </c>
      <c r="AO50" s="67">
        <f>H50*0.166598754951896</f>
        <v>0</v>
      </c>
      <c r="AP50" s="67">
        <f>H50*(1-0.166598754951896)</f>
        <v>0</v>
      </c>
      <c r="AQ50" s="30" t="s">
        <v>257</v>
      </c>
      <c r="AV50" s="67">
        <f>AW50+AX50</f>
        <v>0</v>
      </c>
      <c r="AW50" s="67">
        <f>G50*AO50</f>
        <v>0</v>
      </c>
      <c r="AX50" s="67">
        <f>G50*AP50</f>
        <v>0</v>
      </c>
      <c r="AY50" s="30" t="s">
        <v>269</v>
      </c>
      <c r="AZ50" s="30" t="s">
        <v>114</v>
      </c>
      <c r="BA50" s="16" t="s">
        <v>191</v>
      </c>
      <c r="BC50" s="67">
        <f>AW50+AX50</f>
        <v>0</v>
      </c>
      <c r="BD50" s="67">
        <f>H50/(100-BE50)*100</f>
        <v>0</v>
      </c>
      <c r="BE50" s="67">
        <v>0</v>
      </c>
      <c r="BF50" s="67">
        <f>M50</f>
        <v>0.191226</v>
      </c>
      <c r="BH50" s="67">
        <f>G50*AO50</f>
        <v>0</v>
      </c>
      <c r="BI50" s="67">
        <f>G50*AP50</f>
        <v>0</v>
      </c>
      <c r="BJ50" s="67">
        <f>G50*H50</f>
        <v>0</v>
      </c>
      <c r="BK50" s="67"/>
      <c r="BL50" s="67">
        <v>782</v>
      </c>
    </row>
    <row r="51" spans="1:14" ht="13.5" customHeight="1">
      <c r="A51" s="25"/>
      <c r="C51" s="63" t="s">
        <v>128</v>
      </c>
      <c r="D51" s="155" t="s">
        <v>226</v>
      </c>
      <c r="E51" s="156"/>
      <c r="F51" s="156"/>
      <c r="G51" s="156"/>
      <c r="H51" s="156"/>
      <c r="I51" s="156"/>
      <c r="J51" s="156"/>
      <c r="K51" s="156"/>
      <c r="L51" s="156"/>
      <c r="M51" s="156"/>
      <c r="N51" s="157"/>
    </row>
    <row r="52" spans="1:64" ht="15" customHeight="1">
      <c r="A52" s="34" t="s">
        <v>143</v>
      </c>
      <c r="B52" s="4" t="s">
        <v>171</v>
      </c>
      <c r="C52" s="4" t="s">
        <v>292</v>
      </c>
      <c r="D52" s="92" t="s">
        <v>46</v>
      </c>
      <c r="E52" s="92"/>
      <c r="F52" s="4" t="s">
        <v>253</v>
      </c>
      <c r="G52" s="67">
        <v>6.91</v>
      </c>
      <c r="H52" s="84"/>
      <c r="I52" s="67">
        <f>G52*AO52</f>
        <v>0</v>
      </c>
      <c r="J52" s="67">
        <f>G52*AP52</f>
        <v>0</v>
      </c>
      <c r="K52" s="67">
        <f>G52*H52</f>
        <v>0</v>
      </c>
      <c r="L52" s="67">
        <v>0.087</v>
      </c>
      <c r="M52" s="67">
        <f>G52*L52</f>
        <v>0.60117</v>
      </c>
      <c r="N52" s="21" t="s">
        <v>212</v>
      </c>
      <c r="Z52" s="67">
        <f>IF(AQ52="5",BJ52,0)</f>
        <v>0</v>
      </c>
      <c r="AB52" s="67">
        <f>IF(AQ52="1",BH52,0)</f>
        <v>0</v>
      </c>
      <c r="AC52" s="67">
        <f>IF(AQ52="1",BI52,0)</f>
        <v>0</v>
      </c>
      <c r="AD52" s="67">
        <f>IF(AQ52="7",BH52,0)</f>
        <v>0</v>
      </c>
      <c r="AE52" s="67">
        <f>IF(AQ52="7",BI52,0)</f>
        <v>0</v>
      </c>
      <c r="AF52" s="67">
        <f>IF(AQ52="2",BH52,0)</f>
        <v>0</v>
      </c>
      <c r="AG52" s="67">
        <f>IF(AQ52="2",BI52,0)</f>
        <v>0</v>
      </c>
      <c r="AH52" s="67">
        <f>IF(AQ52="0",BJ52,0)</f>
        <v>0</v>
      </c>
      <c r="AI52" s="16" t="s">
        <v>171</v>
      </c>
      <c r="AJ52" s="67">
        <f>IF(AN52=0,K52,0)</f>
        <v>0</v>
      </c>
      <c r="AK52" s="67">
        <f>IF(AN52=15,K52,0)</f>
        <v>0</v>
      </c>
      <c r="AL52" s="67">
        <f>IF(AN52=21,K52,0)</f>
        <v>0</v>
      </c>
      <c r="AN52" s="67">
        <v>21</v>
      </c>
      <c r="AO52" s="67">
        <f>H52*1</f>
        <v>0</v>
      </c>
      <c r="AP52" s="67">
        <f>H52*(1-1)</f>
        <v>0</v>
      </c>
      <c r="AQ52" s="30" t="s">
        <v>257</v>
      </c>
      <c r="AV52" s="67">
        <f>AW52+AX52</f>
        <v>0</v>
      </c>
      <c r="AW52" s="67">
        <f>G52*AO52</f>
        <v>0</v>
      </c>
      <c r="AX52" s="67">
        <f>G52*AP52</f>
        <v>0</v>
      </c>
      <c r="AY52" s="30" t="s">
        <v>269</v>
      </c>
      <c r="AZ52" s="30" t="s">
        <v>114</v>
      </c>
      <c r="BA52" s="16" t="s">
        <v>191</v>
      </c>
      <c r="BC52" s="67">
        <f>AW52+AX52</f>
        <v>0</v>
      </c>
      <c r="BD52" s="67">
        <f>H52/(100-BE52)*100</f>
        <v>0</v>
      </c>
      <c r="BE52" s="67">
        <v>0</v>
      </c>
      <c r="BF52" s="67">
        <f>M52</f>
        <v>0.60117</v>
      </c>
      <c r="BH52" s="67">
        <f>G52*AO52</f>
        <v>0</v>
      </c>
      <c r="BI52" s="67">
        <f>G52*AP52</f>
        <v>0</v>
      </c>
      <c r="BJ52" s="67">
        <f>G52*H52</f>
        <v>0</v>
      </c>
      <c r="BK52" s="67"/>
      <c r="BL52" s="67">
        <v>782</v>
      </c>
    </row>
    <row r="53" spans="1:64" ht="15" customHeight="1">
      <c r="A53" s="34" t="s">
        <v>214</v>
      </c>
      <c r="B53" s="4" t="s">
        <v>171</v>
      </c>
      <c r="C53" s="4" t="s">
        <v>5</v>
      </c>
      <c r="D53" s="92" t="s">
        <v>285</v>
      </c>
      <c r="E53" s="92"/>
      <c r="F53" s="4" t="s">
        <v>119</v>
      </c>
      <c r="G53" s="67">
        <v>0.73759</v>
      </c>
      <c r="H53" s="84"/>
      <c r="I53" s="67">
        <f>G53*AO53</f>
        <v>0</v>
      </c>
      <c r="J53" s="67">
        <f>G53*AP53</f>
        <v>0</v>
      </c>
      <c r="K53" s="67">
        <f>G53*H53</f>
        <v>0</v>
      </c>
      <c r="L53" s="67">
        <v>0</v>
      </c>
      <c r="M53" s="67">
        <f>G53*L53</f>
        <v>0</v>
      </c>
      <c r="N53" s="21" t="s">
        <v>212</v>
      </c>
      <c r="Z53" s="67">
        <f>IF(AQ53="5",BJ53,0)</f>
        <v>0</v>
      </c>
      <c r="AB53" s="67">
        <f>IF(AQ53="1",BH53,0)</f>
        <v>0</v>
      </c>
      <c r="AC53" s="67">
        <f>IF(AQ53="1",BI53,0)</f>
        <v>0</v>
      </c>
      <c r="AD53" s="67">
        <f>IF(AQ53="7",BH53,0)</f>
        <v>0</v>
      </c>
      <c r="AE53" s="67">
        <f>IF(AQ53="7",BI53,0)</f>
        <v>0</v>
      </c>
      <c r="AF53" s="67">
        <f>IF(AQ53="2",BH53,0)</f>
        <v>0</v>
      </c>
      <c r="AG53" s="67">
        <f>IF(AQ53="2",BI53,0)</f>
        <v>0</v>
      </c>
      <c r="AH53" s="67">
        <f>IF(AQ53="0",BJ53,0)</f>
        <v>0</v>
      </c>
      <c r="AI53" s="16" t="s">
        <v>171</v>
      </c>
      <c r="AJ53" s="67">
        <f>IF(AN53=0,K53,0)</f>
        <v>0</v>
      </c>
      <c r="AK53" s="67">
        <f>IF(AN53=15,K53,0)</f>
        <v>0</v>
      </c>
      <c r="AL53" s="67">
        <f>IF(AN53=21,K53,0)</f>
        <v>0</v>
      </c>
      <c r="AN53" s="67">
        <v>21</v>
      </c>
      <c r="AO53" s="67">
        <f>H53*0</f>
        <v>0</v>
      </c>
      <c r="AP53" s="67">
        <f>H53*(1-0)</f>
        <v>0</v>
      </c>
      <c r="AQ53" s="30" t="s">
        <v>134</v>
      </c>
      <c r="AV53" s="67">
        <f>AW53+AX53</f>
        <v>0</v>
      </c>
      <c r="AW53" s="67">
        <f>G53*AO53</f>
        <v>0</v>
      </c>
      <c r="AX53" s="67">
        <f>G53*AP53</f>
        <v>0</v>
      </c>
      <c r="AY53" s="30" t="s">
        <v>269</v>
      </c>
      <c r="AZ53" s="30" t="s">
        <v>114</v>
      </c>
      <c r="BA53" s="16" t="s">
        <v>191</v>
      </c>
      <c r="BC53" s="67">
        <f>AW53+AX53</f>
        <v>0</v>
      </c>
      <c r="BD53" s="67">
        <f>H53/(100-BE53)*100</f>
        <v>0</v>
      </c>
      <c r="BE53" s="67">
        <v>0</v>
      </c>
      <c r="BF53" s="67">
        <f>M53</f>
        <v>0</v>
      </c>
      <c r="BH53" s="67">
        <f>G53*AO53</f>
        <v>0</v>
      </c>
      <c r="BI53" s="67">
        <f>G53*AP53</f>
        <v>0</v>
      </c>
      <c r="BJ53" s="67">
        <f>G53*H53</f>
        <v>0</v>
      </c>
      <c r="BK53" s="67"/>
      <c r="BL53" s="67">
        <v>782</v>
      </c>
    </row>
    <row r="54" spans="1:47" ht="15" customHeight="1">
      <c r="A54" s="22" t="s">
        <v>171</v>
      </c>
      <c r="B54" s="3" t="s">
        <v>171</v>
      </c>
      <c r="C54" s="3" t="s">
        <v>266</v>
      </c>
      <c r="D54" s="154" t="s">
        <v>179</v>
      </c>
      <c r="E54" s="154"/>
      <c r="F54" s="50" t="s">
        <v>239</v>
      </c>
      <c r="G54" s="50" t="s">
        <v>239</v>
      </c>
      <c r="H54" s="50" t="s">
        <v>239</v>
      </c>
      <c r="I54" s="70">
        <f>SUM(I55:I55)</f>
        <v>0</v>
      </c>
      <c r="J54" s="70">
        <f>SUM(J55:J55)</f>
        <v>0</v>
      </c>
      <c r="K54" s="70">
        <f>SUM(K55:K55)</f>
        <v>0</v>
      </c>
      <c r="L54" s="16" t="s">
        <v>171</v>
      </c>
      <c r="M54" s="70">
        <f>SUM(M55:M55)</f>
        <v>15.507138900000001</v>
      </c>
      <c r="N54" s="74" t="s">
        <v>171</v>
      </c>
      <c r="AI54" s="16" t="s">
        <v>171</v>
      </c>
      <c r="AS54" s="70">
        <f>SUM(AJ55:AJ55)</f>
        <v>0</v>
      </c>
      <c r="AT54" s="70">
        <f>SUM(AK55:AK55)</f>
        <v>0</v>
      </c>
      <c r="AU54" s="70">
        <f>SUM(AL55:AL55)</f>
        <v>0</v>
      </c>
    </row>
    <row r="55" spans="1:64" ht="15" customHeight="1">
      <c r="A55" s="34" t="s">
        <v>59</v>
      </c>
      <c r="B55" s="4" t="s">
        <v>171</v>
      </c>
      <c r="C55" s="4" t="s">
        <v>150</v>
      </c>
      <c r="D55" s="92" t="s">
        <v>288</v>
      </c>
      <c r="E55" s="92"/>
      <c r="F55" s="4" t="s">
        <v>209</v>
      </c>
      <c r="G55" s="67">
        <v>13.53</v>
      </c>
      <c r="H55" s="84"/>
      <c r="I55" s="67">
        <f>G55*AO55</f>
        <v>0</v>
      </c>
      <c r="J55" s="67">
        <f>G55*AP55</f>
        <v>0</v>
      </c>
      <c r="K55" s="67">
        <f>G55*H55</f>
        <v>0</v>
      </c>
      <c r="L55" s="67">
        <v>1.14613</v>
      </c>
      <c r="M55" s="67">
        <f>G55*L55</f>
        <v>15.507138900000001</v>
      </c>
      <c r="N55" s="21" t="s">
        <v>212</v>
      </c>
      <c r="Z55" s="67">
        <f>IF(AQ55="5",BJ55,0)</f>
        <v>0</v>
      </c>
      <c r="AB55" s="67">
        <f>IF(AQ55="1",BH55,0)</f>
        <v>0</v>
      </c>
      <c r="AC55" s="67">
        <f>IF(AQ55="1",BI55,0)</f>
        <v>0</v>
      </c>
      <c r="AD55" s="67">
        <f>IF(AQ55="7",BH55,0)</f>
        <v>0</v>
      </c>
      <c r="AE55" s="67">
        <f>IF(AQ55="7",BI55,0)</f>
        <v>0</v>
      </c>
      <c r="AF55" s="67">
        <f>IF(AQ55="2",BH55,0)</f>
        <v>0</v>
      </c>
      <c r="AG55" s="67">
        <f>IF(AQ55="2",BI55,0)</f>
        <v>0</v>
      </c>
      <c r="AH55" s="67">
        <f>IF(AQ55="0",BJ55,0)</f>
        <v>0</v>
      </c>
      <c r="AI55" s="16" t="s">
        <v>171</v>
      </c>
      <c r="AJ55" s="67">
        <f>IF(AN55=0,K55,0)</f>
        <v>0</v>
      </c>
      <c r="AK55" s="67">
        <f>IF(AN55=15,K55,0)</f>
        <v>0</v>
      </c>
      <c r="AL55" s="67">
        <f>IF(AN55=21,K55,0)</f>
        <v>0</v>
      </c>
      <c r="AN55" s="67">
        <v>21</v>
      </c>
      <c r="AO55" s="67">
        <f>H55*0.518114724636384</f>
        <v>0</v>
      </c>
      <c r="AP55" s="67">
        <f>H55*(1-0.518114724636384)</f>
        <v>0</v>
      </c>
      <c r="AQ55" s="30" t="s">
        <v>256</v>
      </c>
      <c r="AV55" s="67">
        <f>AW55+AX55</f>
        <v>0</v>
      </c>
      <c r="AW55" s="67">
        <f>G55*AO55</f>
        <v>0</v>
      </c>
      <c r="AX55" s="67">
        <f>G55*AP55</f>
        <v>0</v>
      </c>
      <c r="AY55" s="30" t="s">
        <v>149</v>
      </c>
      <c r="AZ55" s="30" t="s">
        <v>218</v>
      </c>
      <c r="BA55" s="16" t="s">
        <v>191</v>
      </c>
      <c r="BC55" s="67">
        <f>AW55+AX55</f>
        <v>0</v>
      </c>
      <c r="BD55" s="67">
        <f>H55/(100-BE55)*100</f>
        <v>0</v>
      </c>
      <c r="BE55" s="67">
        <v>0</v>
      </c>
      <c r="BF55" s="67">
        <f>M55</f>
        <v>15.507138900000001</v>
      </c>
      <c r="BH55" s="67">
        <f>G55*AO55</f>
        <v>0</v>
      </c>
      <c r="BI55" s="67">
        <f>G55*AP55</f>
        <v>0</v>
      </c>
      <c r="BJ55" s="67">
        <f>G55*H55</f>
        <v>0</v>
      </c>
      <c r="BK55" s="67"/>
      <c r="BL55" s="67">
        <v>83</v>
      </c>
    </row>
    <row r="56" spans="1:14" ht="13.5" customHeight="1">
      <c r="A56" s="25"/>
      <c r="C56" s="63" t="s">
        <v>128</v>
      </c>
      <c r="D56" s="155" t="s">
        <v>207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7"/>
    </row>
    <row r="57" spans="1:47" ht="15" customHeight="1">
      <c r="A57" s="22" t="s">
        <v>171</v>
      </c>
      <c r="B57" s="3" t="s">
        <v>171</v>
      </c>
      <c r="C57" s="3" t="s">
        <v>278</v>
      </c>
      <c r="D57" s="154" t="s">
        <v>157</v>
      </c>
      <c r="E57" s="154"/>
      <c r="F57" s="50" t="s">
        <v>239</v>
      </c>
      <c r="G57" s="50" t="s">
        <v>239</v>
      </c>
      <c r="H57" s="50" t="s">
        <v>239</v>
      </c>
      <c r="I57" s="70">
        <f>SUM(I58:I64)</f>
        <v>0</v>
      </c>
      <c r="J57" s="70">
        <f>SUM(J58:J64)</f>
        <v>0</v>
      </c>
      <c r="K57" s="70">
        <f>SUM(K58:K64)</f>
        <v>0</v>
      </c>
      <c r="L57" s="16" t="s">
        <v>171</v>
      </c>
      <c r="M57" s="70">
        <f>SUM(M58:M64)</f>
        <v>1.17536</v>
      </c>
      <c r="N57" s="74" t="s">
        <v>171</v>
      </c>
      <c r="AI57" s="16" t="s">
        <v>171</v>
      </c>
      <c r="AS57" s="70">
        <f>SUM(AJ58:AJ64)</f>
        <v>0</v>
      </c>
      <c r="AT57" s="70">
        <f>SUM(AK58:AK64)</f>
        <v>0</v>
      </c>
      <c r="AU57" s="70">
        <f>SUM(AL58:AL64)</f>
        <v>0</v>
      </c>
    </row>
    <row r="58" spans="1:64" ht="15" customHeight="1">
      <c r="A58" s="34" t="s">
        <v>289</v>
      </c>
      <c r="B58" s="4" t="s">
        <v>171</v>
      </c>
      <c r="C58" s="4" t="s">
        <v>37</v>
      </c>
      <c r="D58" s="92" t="s">
        <v>30</v>
      </c>
      <c r="E58" s="92"/>
      <c r="F58" s="4" t="s">
        <v>65</v>
      </c>
      <c r="G58" s="67">
        <v>1</v>
      </c>
      <c r="H58" s="84"/>
      <c r="I58" s="67">
        <f>G58*AO58</f>
        <v>0</v>
      </c>
      <c r="J58" s="67">
        <f>G58*AP58</f>
        <v>0</v>
      </c>
      <c r="K58" s="67">
        <f>G58*H58</f>
        <v>0</v>
      </c>
      <c r="L58" s="67">
        <v>0.14592</v>
      </c>
      <c r="M58" s="67">
        <f>G58*L58</f>
        <v>0.14592</v>
      </c>
      <c r="N58" s="21" t="s">
        <v>212</v>
      </c>
      <c r="Z58" s="67">
        <f>IF(AQ58="5",BJ58,0)</f>
        <v>0</v>
      </c>
      <c r="AB58" s="67">
        <f>IF(AQ58="1",BH58,0)</f>
        <v>0</v>
      </c>
      <c r="AC58" s="67">
        <f>IF(AQ58="1",BI58,0)</f>
        <v>0</v>
      </c>
      <c r="AD58" s="67">
        <f>IF(AQ58="7",BH58,0)</f>
        <v>0</v>
      </c>
      <c r="AE58" s="67">
        <f>IF(AQ58="7",BI58,0)</f>
        <v>0</v>
      </c>
      <c r="AF58" s="67">
        <f>IF(AQ58="2",BH58,0)</f>
        <v>0</v>
      </c>
      <c r="AG58" s="67">
        <f>IF(AQ58="2",BI58,0)</f>
        <v>0</v>
      </c>
      <c r="AH58" s="67">
        <f>IF(AQ58="0",BJ58,0)</f>
        <v>0</v>
      </c>
      <c r="AI58" s="16" t="s">
        <v>171</v>
      </c>
      <c r="AJ58" s="67">
        <f>IF(AN58=0,K58,0)</f>
        <v>0</v>
      </c>
      <c r="AK58" s="67">
        <f>IF(AN58=15,K58,0)</f>
        <v>0</v>
      </c>
      <c r="AL58" s="67">
        <f>IF(AN58=21,K58,0)</f>
        <v>0</v>
      </c>
      <c r="AN58" s="67">
        <v>21</v>
      </c>
      <c r="AO58" s="67">
        <f>H58*0.93118796641791</f>
        <v>0</v>
      </c>
      <c r="AP58" s="67">
        <f>H58*(1-0.93118796641791)</f>
        <v>0</v>
      </c>
      <c r="AQ58" s="30" t="s">
        <v>256</v>
      </c>
      <c r="AV58" s="67">
        <f>AW58+AX58</f>
        <v>0</v>
      </c>
      <c r="AW58" s="67">
        <f>G58*AO58</f>
        <v>0</v>
      </c>
      <c r="AX58" s="67">
        <f>G58*AP58</f>
        <v>0</v>
      </c>
      <c r="AY58" s="30" t="s">
        <v>17</v>
      </c>
      <c r="AZ58" s="30" t="s">
        <v>218</v>
      </c>
      <c r="BA58" s="16" t="s">
        <v>191</v>
      </c>
      <c r="BC58" s="67">
        <f>AW58+AX58</f>
        <v>0</v>
      </c>
      <c r="BD58" s="67">
        <f>H58/(100-BE58)*100</f>
        <v>0</v>
      </c>
      <c r="BE58" s="67">
        <v>0</v>
      </c>
      <c r="BF58" s="67">
        <f>M58</f>
        <v>0.14592</v>
      </c>
      <c r="BH58" s="67">
        <f>G58*AO58</f>
        <v>0</v>
      </c>
      <c r="BI58" s="67">
        <f>G58*AP58</f>
        <v>0</v>
      </c>
      <c r="BJ58" s="67">
        <f>G58*H58</f>
        <v>0</v>
      </c>
      <c r="BK58" s="67"/>
      <c r="BL58" s="67">
        <v>89</v>
      </c>
    </row>
    <row r="59" spans="1:14" ht="13.5" customHeight="1">
      <c r="A59" s="25"/>
      <c r="C59" s="63" t="s">
        <v>128</v>
      </c>
      <c r="D59" s="155" t="s">
        <v>216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7"/>
    </row>
    <row r="60" spans="1:64" ht="15" customHeight="1">
      <c r="A60" s="34" t="s">
        <v>232</v>
      </c>
      <c r="B60" s="4" t="s">
        <v>171</v>
      </c>
      <c r="C60" s="4" t="s">
        <v>246</v>
      </c>
      <c r="D60" s="92" t="s">
        <v>291</v>
      </c>
      <c r="E60" s="92"/>
      <c r="F60" s="4" t="s">
        <v>65</v>
      </c>
      <c r="G60" s="67">
        <v>1</v>
      </c>
      <c r="H60" s="84"/>
      <c r="I60" s="67">
        <f>G60*AO60</f>
        <v>0</v>
      </c>
      <c r="J60" s="67">
        <f>G60*AP60</f>
        <v>0</v>
      </c>
      <c r="K60" s="67">
        <f>G60*H60</f>
        <v>0</v>
      </c>
      <c r="L60" s="67">
        <v>0.51472</v>
      </c>
      <c r="M60" s="67">
        <f>G60*L60</f>
        <v>0.51472</v>
      </c>
      <c r="N60" s="21" t="s">
        <v>212</v>
      </c>
      <c r="Z60" s="67">
        <f>IF(AQ60="5",BJ60,0)</f>
        <v>0</v>
      </c>
      <c r="AB60" s="67">
        <f>IF(AQ60="1",BH60,0)</f>
        <v>0</v>
      </c>
      <c r="AC60" s="67">
        <f>IF(AQ60="1",BI60,0)</f>
        <v>0</v>
      </c>
      <c r="AD60" s="67">
        <f>IF(AQ60="7",BH60,0)</f>
        <v>0</v>
      </c>
      <c r="AE60" s="67">
        <f>IF(AQ60="7",BI60,0)</f>
        <v>0</v>
      </c>
      <c r="AF60" s="67">
        <f>IF(AQ60="2",BH60,0)</f>
        <v>0</v>
      </c>
      <c r="AG60" s="67">
        <f>IF(AQ60="2",BI60,0)</f>
        <v>0</v>
      </c>
      <c r="AH60" s="67">
        <f>IF(AQ60="0",BJ60,0)</f>
        <v>0</v>
      </c>
      <c r="AI60" s="16" t="s">
        <v>171</v>
      </c>
      <c r="AJ60" s="67">
        <f>IF(AN60=0,K60,0)</f>
        <v>0</v>
      </c>
      <c r="AK60" s="67">
        <f>IF(AN60=15,K60,0)</f>
        <v>0</v>
      </c>
      <c r="AL60" s="67">
        <f>IF(AN60=21,K60,0)</f>
        <v>0</v>
      </c>
      <c r="AN60" s="67">
        <v>21</v>
      </c>
      <c r="AO60" s="67">
        <f>H60*0.977959245984336</f>
        <v>0</v>
      </c>
      <c r="AP60" s="67">
        <f>H60*(1-0.977959245984336)</f>
        <v>0</v>
      </c>
      <c r="AQ60" s="30" t="s">
        <v>256</v>
      </c>
      <c r="AV60" s="67">
        <f>AW60+AX60</f>
        <v>0</v>
      </c>
      <c r="AW60" s="67">
        <f>G60*AO60</f>
        <v>0</v>
      </c>
      <c r="AX60" s="67">
        <f>G60*AP60</f>
        <v>0</v>
      </c>
      <c r="AY60" s="30" t="s">
        <v>17</v>
      </c>
      <c r="AZ60" s="30" t="s">
        <v>218</v>
      </c>
      <c r="BA60" s="16" t="s">
        <v>191</v>
      </c>
      <c r="BC60" s="67">
        <f>AW60+AX60</f>
        <v>0</v>
      </c>
      <c r="BD60" s="67">
        <f>H60/(100-BE60)*100</f>
        <v>0</v>
      </c>
      <c r="BE60" s="67">
        <v>0</v>
      </c>
      <c r="BF60" s="67">
        <f>M60</f>
        <v>0.51472</v>
      </c>
      <c r="BH60" s="67">
        <f>G60*AO60</f>
        <v>0</v>
      </c>
      <c r="BI60" s="67">
        <f>G60*AP60</f>
        <v>0</v>
      </c>
      <c r="BJ60" s="67">
        <f>G60*H60</f>
        <v>0</v>
      </c>
      <c r="BK60" s="67"/>
      <c r="BL60" s="67">
        <v>89</v>
      </c>
    </row>
    <row r="61" spans="1:14" ht="13.5" customHeight="1">
      <c r="A61" s="25"/>
      <c r="C61" s="63" t="s">
        <v>128</v>
      </c>
      <c r="D61" s="155" t="s">
        <v>194</v>
      </c>
      <c r="E61" s="156"/>
      <c r="F61" s="156"/>
      <c r="G61" s="156"/>
      <c r="H61" s="156"/>
      <c r="I61" s="156"/>
      <c r="J61" s="156"/>
      <c r="K61" s="156"/>
      <c r="L61" s="156"/>
      <c r="M61" s="156"/>
      <c r="N61" s="157"/>
    </row>
    <row r="62" spans="1:64" ht="15" customHeight="1">
      <c r="A62" s="34" t="s">
        <v>141</v>
      </c>
      <c r="B62" s="4" t="s">
        <v>171</v>
      </c>
      <c r="C62" s="4" t="s">
        <v>121</v>
      </c>
      <c r="D62" s="92" t="s">
        <v>275</v>
      </c>
      <c r="E62" s="92"/>
      <c r="F62" s="4" t="s">
        <v>65</v>
      </c>
      <c r="G62" s="67">
        <v>1</v>
      </c>
      <c r="H62" s="84"/>
      <c r="I62" s="67">
        <f>G62*AO62</f>
        <v>0</v>
      </c>
      <c r="J62" s="67">
        <f>G62*AP62</f>
        <v>0</v>
      </c>
      <c r="K62" s="67">
        <f>G62*H62</f>
        <v>0</v>
      </c>
      <c r="L62" s="67">
        <v>0.51472</v>
      </c>
      <c r="M62" s="67">
        <f>G62*L62</f>
        <v>0.51472</v>
      </c>
      <c r="N62" s="21" t="s">
        <v>212</v>
      </c>
      <c r="Z62" s="67">
        <f>IF(AQ62="5",BJ62,0)</f>
        <v>0</v>
      </c>
      <c r="AB62" s="67">
        <f>IF(AQ62="1",BH62,0)</f>
        <v>0</v>
      </c>
      <c r="AC62" s="67">
        <f>IF(AQ62="1",BI62,0)</f>
        <v>0</v>
      </c>
      <c r="AD62" s="67">
        <f>IF(AQ62="7",BH62,0)</f>
        <v>0</v>
      </c>
      <c r="AE62" s="67">
        <f>IF(AQ62="7",BI62,0)</f>
        <v>0</v>
      </c>
      <c r="AF62" s="67">
        <f>IF(AQ62="2",BH62,0)</f>
        <v>0</v>
      </c>
      <c r="AG62" s="67">
        <f>IF(AQ62="2",BI62,0)</f>
        <v>0</v>
      </c>
      <c r="AH62" s="67">
        <f>IF(AQ62="0",BJ62,0)</f>
        <v>0</v>
      </c>
      <c r="AI62" s="16" t="s">
        <v>171</v>
      </c>
      <c r="AJ62" s="67">
        <f>IF(AN62=0,K62,0)</f>
        <v>0</v>
      </c>
      <c r="AK62" s="67">
        <f>IF(AN62=15,K62,0)</f>
        <v>0</v>
      </c>
      <c r="AL62" s="67">
        <f>IF(AN62=21,K62,0)</f>
        <v>0</v>
      </c>
      <c r="AN62" s="67">
        <v>21</v>
      </c>
      <c r="AO62" s="67">
        <f>H62*0.977959245984336</f>
        <v>0</v>
      </c>
      <c r="AP62" s="67">
        <f>H62*(1-0.977959245984336)</f>
        <v>0</v>
      </c>
      <c r="AQ62" s="30" t="s">
        <v>256</v>
      </c>
      <c r="AV62" s="67">
        <f>AW62+AX62</f>
        <v>0</v>
      </c>
      <c r="AW62" s="67">
        <f>G62*AO62</f>
        <v>0</v>
      </c>
      <c r="AX62" s="67">
        <f>G62*AP62</f>
        <v>0</v>
      </c>
      <c r="AY62" s="30" t="s">
        <v>17</v>
      </c>
      <c r="AZ62" s="30" t="s">
        <v>218</v>
      </c>
      <c r="BA62" s="16" t="s">
        <v>191</v>
      </c>
      <c r="BC62" s="67">
        <f>AW62+AX62</f>
        <v>0</v>
      </c>
      <c r="BD62" s="67">
        <f>H62/(100-BE62)*100</f>
        <v>0</v>
      </c>
      <c r="BE62" s="67">
        <v>0</v>
      </c>
      <c r="BF62" s="67">
        <f>M62</f>
        <v>0.51472</v>
      </c>
      <c r="BH62" s="67">
        <f>G62*AO62</f>
        <v>0</v>
      </c>
      <c r="BI62" s="67">
        <f>G62*AP62</f>
        <v>0</v>
      </c>
      <c r="BJ62" s="67">
        <f>G62*H62</f>
        <v>0</v>
      </c>
      <c r="BK62" s="67"/>
      <c r="BL62" s="67">
        <v>89</v>
      </c>
    </row>
    <row r="63" spans="1:14" ht="13.5" customHeight="1">
      <c r="A63" s="25"/>
      <c r="C63" s="63" t="s">
        <v>128</v>
      </c>
      <c r="D63" s="155" t="s">
        <v>70</v>
      </c>
      <c r="E63" s="156"/>
      <c r="F63" s="156"/>
      <c r="G63" s="156"/>
      <c r="H63" s="156"/>
      <c r="I63" s="156"/>
      <c r="J63" s="156"/>
      <c r="K63" s="156"/>
      <c r="L63" s="156"/>
      <c r="M63" s="156"/>
      <c r="N63" s="157"/>
    </row>
    <row r="64" spans="1:64" ht="15" customHeight="1">
      <c r="A64" s="58" t="s">
        <v>252</v>
      </c>
      <c r="B64" s="9" t="s">
        <v>171</v>
      </c>
      <c r="C64" s="9" t="s">
        <v>261</v>
      </c>
      <c r="D64" s="95" t="s">
        <v>199</v>
      </c>
      <c r="E64" s="95"/>
      <c r="F64" s="9" t="s">
        <v>119</v>
      </c>
      <c r="G64" s="68">
        <v>1.17536</v>
      </c>
      <c r="H64" s="85"/>
      <c r="I64" s="68">
        <f>G64*AO64</f>
        <v>0</v>
      </c>
      <c r="J64" s="68">
        <f>G64*AP64</f>
        <v>0</v>
      </c>
      <c r="K64" s="68">
        <f>G64*H64</f>
        <v>0</v>
      </c>
      <c r="L64" s="68">
        <v>0</v>
      </c>
      <c r="M64" s="68">
        <f>G64*L64</f>
        <v>0</v>
      </c>
      <c r="N64" s="77" t="s">
        <v>212</v>
      </c>
      <c r="Z64" s="67">
        <f>IF(AQ64="5",BJ64,0)</f>
        <v>0</v>
      </c>
      <c r="AB64" s="67">
        <f>IF(AQ64="1",BH64,0)</f>
        <v>0</v>
      </c>
      <c r="AC64" s="67">
        <f>IF(AQ64="1",BI64,0)</f>
        <v>0</v>
      </c>
      <c r="AD64" s="67">
        <f>IF(AQ64="7",BH64,0)</f>
        <v>0</v>
      </c>
      <c r="AE64" s="67">
        <f>IF(AQ64="7",BI64,0)</f>
        <v>0</v>
      </c>
      <c r="AF64" s="67">
        <f>IF(AQ64="2",BH64,0)</f>
        <v>0</v>
      </c>
      <c r="AG64" s="67">
        <f>IF(AQ64="2",BI64,0)</f>
        <v>0</v>
      </c>
      <c r="AH64" s="67">
        <f>IF(AQ64="0",BJ64,0)</f>
        <v>0</v>
      </c>
      <c r="AI64" s="16" t="s">
        <v>171</v>
      </c>
      <c r="AJ64" s="67">
        <f>IF(AN64=0,K64,0)</f>
        <v>0</v>
      </c>
      <c r="AK64" s="67">
        <f>IF(AN64=15,K64,0)</f>
        <v>0</v>
      </c>
      <c r="AL64" s="67">
        <f>IF(AN64=21,K64,0)</f>
        <v>0</v>
      </c>
      <c r="AN64" s="67">
        <v>21</v>
      </c>
      <c r="AO64" s="67">
        <f>H64*0</f>
        <v>0</v>
      </c>
      <c r="AP64" s="67">
        <f>H64*(1-0)</f>
        <v>0</v>
      </c>
      <c r="AQ64" s="30" t="s">
        <v>134</v>
      </c>
      <c r="AV64" s="67">
        <f>AW64+AX64</f>
        <v>0</v>
      </c>
      <c r="AW64" s="67">
        <f>G64*AO64</f>
        <v>0</v>
      </c>
      <c r="AX64" s="67">
        <f>G64*AP64</f>
        <v>0</v>
      </c>
      <c r="AY64" s="30" t="s">
        <v>17</v>
      </c>
      <c r="AZ64" s="30" t="s">
        <v>218</v>
      </c>
      <c r="BA64" s="16" t="s">
        <v>191</v>
      </c>
      <c r="BC64" s="67">
        <f>AW64+AX64</f>
        <v>0</v>
      </c>
      <c r="BD64" s="67">
        <f>H64/(100-BE64)*100</f>
        <v>0</v>
      </c>
      <c r="BE64" s="67">
        <v>0</v>
      </c>
      <c r="BF64" s="67">
        <f>M64</f>
        <v>0</v>
      </c>
      <c r="BH64" s="67">
        <f>G64*AO64</f>
        <v>0</v>
      </c>
      <c r="BI64" s="67">
        <f>G64*AP64</f>
        <v>0</v>
      </c>
      <c r="BJ64" s="67">
        <f>G64*H64</f>
        <v>0</v>
      </c>
      <c r="BK64" s="67"/>
      <c r="BL64" s="67">
        <v>89</v>
      </c>
    </row>
    <row r="65" spans="9:11" ht="15" customHeight="1">
      <c r="I65" s="100" t="s">
        <v>200</v>
      </c>
      <c r="J65" s="100"/>
      <c r="K65" s="8">
        <f>K12+K19+K24+K30+K32+K43+K49+K54+K57</f>
        <v>0</v>
      </c>
    </row>
    <row r="66" ht="15" customHeight="1">
      <c r="A66" s="10" t="s">
        <v>19</v>
      </c>
    </row>
    <row r="67" spans="1:14" ht="12.75" customHeight="1">
      <c r="A67" s="97" t="s">
        <v>171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</sheetData>
  <sheetProtection password="E9AE" sheet="1"/>
  <mergeCells count="84">
    <mergeCell ref="D63:N63"/>
    <mergeCell ref="D64:E64"/>
    <mergeCell ref="I65:J65"/>
    <mergeCell ref="A67:N67"/>
    <mergeCell ref="D57:E57"/>
    <mergeCell ref="D58:E58"/>
    <mergeCell ref="D59:N59"/>
    <mergeCell ref="D60:E60"/>
    <mergeCell ref="D61:N61"/>
    <mergeCell ref="D62:E62"/>
    <mergeCell ref="D51:N51"/>
    <mergeCell ref="D52:E52"/>
    <mergeCell ref="D53:E53"/>
    <mergeCell ref="D54:E54"/>
    <mergeCell ref="D55:E55"/>
    <mergeCell ref="D56:N56"/>
    <mergeCell ref="D45:N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N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11:E11"/>
    <mergeCell ref="I10:K10"/>
    <mergeCell ref="L10:M10"/>
    <mergeCell ref="D12:E12"/>
    <mergeCell ref="D13:E13"/>
    <mergeCell ref="D14:E14"/>
    <mergeCell ref="J2:N3"/>
    <mergeCell ref="J4:N5"/>
    <mergeCell ref="J6:N7"/>
    <mergeCell ref="J8:N9"/>
    <mergeCell ref="D10:E10"/>
    <mergeCell ref="I4:I5"/>
    <mergeCell ref="I6:I7"/>
    <mergeCell ref="I8:I9"/>
    <mergeCell ref="D2:E3"/>
    <mergeCell ref="D4:E5"/>
    <mergeCell ref="D6:E7"/>
    <mergeCell ref="D8:E9"/>
    <mergeCell ref="H2:H3"/>
    <mergeCell ref="H4:H5"/>
    <mergeCell ref="H6:H7"/>
    <mergeCell ref="H8:H9"/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I3"/>
  </mergeCells>
  <printOptions/>
  <pageMargins left="0.394" right="0.394" top="0.591" bottom="0.591" header="0" footer="0"/>
  <pageSetup firstPageNumber="0" useFirstPageNumber="1" fitToHeight="0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6"/>
  <sheetViews>
    <sheetView tabSelected="1" showOutlineSymbols="0" zoomScalePageLayoutView="0" workbookViewId="0" topLeftCell="A1">
      <selection activeCell="F40" sqref="F40"/>
    </sheetView>
  </sheetViews>
  <sheetFormatPr defaultColWidth="14.16015625" defaultRowHeight="15" customHeight="1"/>
  <cols>
    <col min="1" max="1" width="5" style="0" customWidth="1"/>
    <col min="2" max="2" width="20" style="0" customWidth="1"/>
    <col min="3" max="3" width="83.33203125" style="0" customWidth="1"/>
    <col min="4" max="4" width="18.33203125" style="0" customWidth="1"/>
    <col min="5" max="5" width="14.16015625" style="0" customWidth="1"/>
    <col min="6" max="6" width="119.5" style="0" customWidth="1"/>
    <col min="7" max="7" width="15" style="0" customWidth="1"/>
    <col min="8" max="11" width="26.66015625" style="0" customWidth="1"/>
    <col min="12" max="12" width="27.5" style="0" customWidth="1"/>
    <col min="13" max="13" width="25.83203125" style="0" customWidth="1"/>
    <col min="14" max="229" width="14.16015625" style="0" customWidth="1"/>
    <col min="230" max="254" width="14.16015625" style="0" hidden="1" customWidth="1"/>
  </cols>
  <sheetData>
    <row r="1" spans="1:13" ht="54.75" customHeight="1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 customHeight="1">
      <c r="A2" s="89" t="s">
        <v>12</v>
      </c>
      <c r="B2" s="90"/>
      <c r="C2" s="98" t="str">
        <f>'Stavební rozpočet'!D2</f>
        <v>Parkoviště Majakovského -Vsakovací objekt a kanalizace</v>
      </c>
      <c r="D2" s="90" t="s">
        <v>0</v>
      </c>
      <c r="E2" s="96" t="str">
        <f>'Stavební rozpočet'!H2</f>
        <v> </v>
      </c>
      <c r="F2" s="96" t="s">
        <v>215</v>
      </c>
      <c r="G2" s="96" t="str">
        <f>'Stavební rozpočet'!J2</f>
        <v> </v>
      </c>
      <c r="H2" s="90"/>
      <c r="I2" s="90"/>
      <c r="J2" s="90"/>
      <c r="K2" s="90"/>
      <c r="L2" s="90"/>
      <c r="M2" s="101"/>
    </row>
    <row r="3" spans="1:13" ht="15" customHeight="1">
      <c r="A3" s="91"/>
      <c r="B3" s="92"/>
      <c r="C3" s="100"/>
      <c r="D3" s="92"/>
      <c r="E3" s="92"/>
      <c r="F3" s="92"/>
      <c r="G3" s="92"/>
      <c r="H3" s="92"/>
      <c r="I3" s="92"/>
      <c r="J3" s="92"/>
      <c r="K3" s="92"/>
      <c r="L3" s="92"/>
      <c r="M3" s="102"/>
    </row>
    <row r="4" spans="1:13" ht="15" customHeight="1">
      <c r="A4" s="93" t="s">
        <v>137</v>
      </c>
      <c r="B4" s="92"/>
      <c r="C4" s="97" t="str">
        <f>'Stavební rozpočet'!D4</f>
        <v> </v>
      </c>
      <c r="D4" s="92" t="s">
        <v>233</v>
      </c>
      <c r="E4" s="97" t="str">
        <f>'Stavební rozpočet'!H4</f>
        <v>10.02.2023</v>
      </c>
      <c r="F4" s="97" t="s">
        <v>167</v>
      </c>
      <c r="G4" s="97" t="str">
        <f>'Stavební rozpočet'!J4</f>
        <v> </v>
      </c>
      <c r="H4" s="92"/>
      <c r="I4" s="92"/>
      <c r="J4" s="92"/>
      <c r="K4" s="92"/>
      <c r="L4" s="92"/>
      <c r="M4" s="102"/>
    </row>
    <row r="5" spans="1:13" ht="15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02"/>
    </row>
    <row r="6" spans="1:13" ht="15" customHeight="1">
      <c r="A6" s="93" t="s">
        <v>20</v>
      </c>
      <c r="B6" s="92"/>
      <c r="C6" s="97" t="str">
        <f>'Stavební rozpočet'!D6</f>
        <v>Karviná</v>
      </c>
      <c r="D6" s="92" t="s">
        <v>81</v>
      </c>
      <c r="E6" s="97" t="str">
        <f>'Stavební rozpočet'!H6</f>
        <v> </v>
      </c>
      <c r="F6" s="97" t="s">
        <v>228</v>
      </c>
      <c r="G6" s="97" t="str">
        <f>'Stavební rozpočet'!J6</f>
        <v> </v>
      </c>
      <c r="H6" s="92"/>
      <c r="I6" s="92"/>
      <c r="J6" s="92"/>
      <c r="K6" s="92"/>
      <c r="L6" s="92"/>
      <c r="M6" s="102"/>
    </row>
    <row r="7" spans="1:13" ht="1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2"/>
    </row>
    <row r="8" spans="1:13" ht="15" customHeight="1">
      <c r="A8" s="93" t="s">
        <v>122</v>
      </c>
      <c r="B8" s="92"/>
      <c r="C8" s="97" t="str">
        <f>'Stavební rozpočet'!D8</f>
        <v> </v>
      </c>
      <c r="D8" s="92" t="s">
        <v>139</v>
      </c>
      <c r="E8" s="97" t="str">
        <f>'Stavební rozpočet'!H8</f>
        <v>10.02.2023</v>
      </c>
      <c r="F8" s="97" t="s">
        <v>161</v>
      </c>
      <c r="G8" s="97" t="str">
        <f>'Stavební rozpočet'!J8</f>
        <v> </v>
      </c>
      <c r="H8" s="92"/>
      <c r="I8" s="92"/>
      <c r="J8" s="92"/>
      <c r="K8" s="92"/>
      <c r="L8" s="92"/>
      <c r="M8" s="102"/>
    </row>
    <row r="9" spans="1:13" ht="1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105"/>
    </row>
    <row r="10" spans="1:231" ht="15" customHeight="1">
      <c r="A10" s="28" t="s">
        <v>15</v>
      </c>
      <c r="B10" s="28" t="s">
        <v>83</v>
      </c>
      <c r="C10" s="28" t="s">
        <v>170</v>
      </c>
      <c r="D10" s="28" t="s">
        <v>90</v>
      </c>
      <c r="E10" s="28" t="s">
        <v>38</v>
      </c>
      <c r="F10" s="28" t="s">
        <v>259</v>
      </c>
      <c r="G10" s="28" t="s">
        <v>144</v>
      </c>
      <c r="H10" s="28" t="s">
        <v>230</v>
      </c>
      <c r="I10" s="28" t="s">
        <v>80</v>
      </c>
      <c r="J10" s="28" t="s">
        <v>88</v>
      </c>
      <c r="K10" s="28" t="s">
        <v>132</v>
      </c>
      <c r="L10" s="28" t="s">
        <v>102</v>
      </c>
      <c r="M10" s="43" t="s">
        <v>174</v>
      </c>
      <c r="HV10" s="78" t="s">
        <v>131</v>
      </c>
      <c r="HW10" s="78" t="s">
        <v>104</v>
      </c>
    </row>
    <row r="11" spans="1:13" ht="15" customHeight="1">
      <c r="A11" s="57" t="s">
        <v>239</v>
      </c>
      <c r="B11" s="37" t="s">
        <v>76</v>
      </c>
      <c r="C11" s="40" t="s">
        <v>1</v>
      </c>
      <c r="D11" s="37" t="s">
        <v>239</v>
      </c>
      <c r="E11" s="37" t="s">
        <v>239</v>
      </c>
      <c r="F11" s="37" t="s">
        <v>239</v>
      </c>
      <c r="G11" s="71" t="s">
        <v>239</v>
      </c>
      <c r="H11" s="71" t="s">
        <v>239</v>
      </c>
      <c r="I11" s="19">
        <f>SUM(I12:I17)</f>
        <v>0</v>
      </c>
      <c r="J11" s="19">
        <f>SUM(J12:J17)</f>
        <v>0</v>
      </c>
      <c r="K11" s="19">
        <f>SUM(K12:K17)</f>
        <v>0</v>
      </c>
      <c r="L11" s="71" t="s">
        <v>239</v>
      </c>
      <c r="M11" s="6">
        <f>SUM(M12:M17)</f>
        <v>666.4544000000001</v>
      </c>
    </row>
    <row r="12" spans="1:253" ht="15" customHeight="1">
      <c r="A12" s="82">
        <v>1</v>
      </c>
      <c r="B12" s="4" t="s">
        <v>190</v>
      </c>
      <c r="C12" s="76" t="s">
        <v>94</v>
      </c>
      <c r="D12" s="4" t="s">
        <v>248</v>
      </c>
      <c r="E12" s="47">
        <v>21</v>
      </c>
      <c r="F12" s="4" t="s">
        <v>274</v>
      </c>
      <c r="G12" s="67">
        <f>'Stavební rozpočet'!G13</f>
        <v>398.084</v>
      </c>
      <c r="H12" s="67">
        <f>'Stavební rozpočet'!H13</f>
        <v>0</v>
      </c>
      <c r="I12" s="67">
        <f aca="true" t="shared" si="0" ref="I12:I17">IR12*G12</f>
        <v>0</v>
      </c>
      <c r="J12" s="67">
        <f aca="true" t="shared" si="1" ref="J12:J17">IS12*G12</f>
        <v>0</v>
      </c>
      <c r="K12" s="67">
        <f aca="true" t="shared" si="2" ref="K12:K17">IR12*G12+IS12*G12</f>
        <v>0</v>
      </c>
      <c r="L12" s="67">
        <f>'Stavební rozpočet'!L13</f>
        <v>1.6</v>
      </c>
      <c r="M12" s="5">
        <f aca="true" t="shared" si="3" ref="M12:M17">L12*G12</f>
        <v>636.9344000000001</v>
      </c>
      <c r="HV12" s="4" t="s">
        <v>76</v>
      </c>
      <c r="HW12" s="4" t="s">
        <v>127</v>
      </c>
      <c r="IR12" s="31">
        <f aca="true" t="shared" si="4" ref="IR12:IR17">H12*0</f>
        <v>0</v>
      </c>
      <c r="IS12" s="31">
        <f aca="true" t="shared" si="5" ref="IS12:IS17">H12*(1-0)</f>
        <v>0</v>
      </c>
    </row>
    <row r="13" spans="1:253" ht="15" customHeight="1">
      <c r="A13" s="82">
        <v>2</v>
      </c>
      <c r="B13" s="4" t="s">
        <v>201</v>
      </c>
      <c r="C13" s="76" t="s">
        <v>205</v>
      </c>
      <c r="D13" s="4" t="s">
        <v>248</v>
      </c>
      <c r="E13" s="47">
        <v>21</v>
      </c>
      <c r="F13" s="4" t="s">
        <v>206</v>
      </c>
      <c r="G13" s="67">
        <f>'Stavební rozpočet'!G14</f>
        <v>398.084</v>
      </c>
      <c r="H13" s="67">
        <f>'Stavební rozpočet'!H14</f>
        <v>0</v>
      </c>
      <c r="I13" s="67">
        <f t="shared" si="0"/>
        <v>0</v>
      </c>
      <c r="J13" s="67">
        <f t="shared" si="1"/>
        <v>0</v>
      </c>
      <c r="K13" s="67">
        <f t="shared" si="2"/>
        <v>0</v>
      </c>
      <c r="L13" s="67">
        <f>'Stavební rozpočet'!L14</f>
        <v>0</v>
      </c>
      <c r="M13" s="5">
        <f t="shared" si="3"/>
        <v>0</v>
      </c>
      <c r="HV13" s="4" t="s">
        <v>76</v>
      </c>
      <c r="HW13" s="4" t="s">
        <v>127</v>
      </c>
      <c r="IR13" s="31">
        <f t="shared" si="4"/>
        <v>0</v>
      </c>
      <c r="IS13" s="31">
        <f t="shared" si="5"/>
        <v>0</v>
      </c>
    </row>
    <row r="14" spans="1:253" ht="15" customHeight="1">
      <c r="A14" s="82">
        <v>3</v>
      </c>
      <c r="B14" s="4" t="s">
        <v>61</v>
      </c>
      <c r="C14" s="76" t="s">
        <v>27</v>
      </c>
      <c r="D14" s="4" t="s">
        <v>248</v>
      </c>
      <c r="E14" s="47">
        <v>21</v>
      </c>
      <c r="F14" s="4" t="s">
        <v>69</v>
      </c>
      <c r="G14" s="67">
        <f>'Stavební rozpočet'!G15</f>
        <v>18.45</v>
      </c>
      <c r="H14" s="67">
        <f>'Stavební rozpočet'!H15</f>
        <v>0</v>
      </c>
      <c r="I14" s="67">
        <f t="shared" si="0"/>
        <v>0</v>
      </c>
      <c r="J14" s="67">
        <f t="shared" si="1"/>
        <v>0</v>
      </c>
      <c r="K14" s="67">
        <f t="shared" si="2"/>
        <v>0</v>
      </c>
      <c r="L14" s="67">
        <f>'Stavební rozpočet'!L15</f>
        <v>1.6</v>
      </c>
      <c r="M14" s="5">
        <f t="shared" si="3"/>
        <v>29.52</v>
      </c>
      <c r="HV14" s="4" t="s">
        <v>76</v>
      </c>
      <c r="HW14" s="4" t="s">
        <v>127</v>
      </c>
      <c r="IR14" s="31">
        <f t="shared" si="4"/>
        <v>0</v>
      </c>
      <c r="IS14" s="31">
        <f t="shared" si="5"/>
        <v>0</v>
      </c>
    </row>
    <row r="15" spans="1:253" ht="15" customHeight="1">
      <c r="A15" s="82">
        <v>4</v>
      </c>
      <c r="B15" s="4" t="s">
        <v>56</v>
      </c>
      <c r="C15" s="76" t="s">
        <v>145</v>
      </c>
      <c r="D15" s="4" t="s">
        <v>119</v>
      </c>
      <c r="E15" s="47">
        <v>21</v>
      </c>
      <c r="F15" s="4" t="s">
        <v>171</v>
      </c>
      <c r="G15" s="67">
        <f>'Stavební rozpočet'!G16</f>
        <v>666.4544</v>
      </c>
      <c r="H15" s="67">
        <f>'Stavební rozpočet'!H16</f>
        <v>0</v>
      </c>
      <c r="I15" s="67">
        <f t="shared" si="0"/>
        <v>0</v>
      </c>
      <c r="J15" s="67">
        <f t="shared" si="1"/>
        <v>0</v>
      </c>
      <c r="K15" s="67">
        <f t="shared" si="2"/>
        <v>0</v>
      </c>
      <c r="L15" s="67">
        <f>'Stavební rozpočet'!L16</f>
        <v>0</v>
      </c>
      <c r="M15" s="5">
        <f t="shared" si="3"/>
        <v>0</v>
      </c>
      <c r="HV15" s="4" t="s">
        <v>76</v>
      </c>
      <c r="HW15" s="4" t="s">
        <v>127</v>
      </c>
      <c r="IR15" s="31">
        <f t="shared" si="4"/>
        <v>0</v>
      </c>
      <c r="IS15" s="31">
        <f t="shared" si="5"/>
        <v>0</v>
      </c>
    </row>
    <row r="16" spans="1:253" ht="15" customHeight="1">
      <c r="A16" s="82">
        <v>5</v>
      </c>
      <c r="B16" s="4" t="s">
        <v>258</v>
      </c>
      <c r="C16" s="76" t="s">
        <v>220</v>
      </c>
      <c r="D16" s="4" t="s">
        <v>119</v>
      </c>
      <c r="E16" s="47">
        <v>21</v>
      </c>
      <c r="F16" s="4" t="s">
        <v>171</v>
      </c>
      <c r="G16" s="67">
        <f>'Stavební rozpočet'!G17</f>
        <v>666.4544</v>
      </c>
      <c r="H16" s="67">
        <f>'Stavební rozpočet'!H17</f>
        <v>0</v>
      </c>
      <c r="I16" s="67">
        <f t="shared" si="0"/>
        <v>0</v>
      </c>
      <c r="J16" s="67">
        <f t="shared" si="1"/>
        <v>0</v>
      </c>
      <c r="K16" s="67">
        <f t="shared" si="2"/>
        <v>0</v>
      </c>
      <c r="L16" s="67">
        <f>'Stavební rozpočet'!L17</f>
        <v>0</v>
      </c>
      <c r="M16" s="5">
        <f t="shared" si="3"/>
        <v>0</v>
      </c>
      <c r="HV16" s="4" t="s">
        <v>76</v>
      </c>
      <c r="HW16" s="4" t="s">
        <v>127</v>
      </c>
      <c r="IR16" s="31">
        <f t="shared" si="4"/>
        <v>0</v>
      </c>
      <c r="IS16" s="31">
        <f t="shared" si="5"/>
        <v>0</v>
      </c>
    </row>
    <row r="17" spans="1:253" ht="15" customHeight="1">
      <c r="A17" s="82">
        <v>6</v>
      </c>
      <c r="B17" s="4" t="s">
        <v>182</v>
      </c>
      <c r="C17" s="76" t="s">
        <v>18</v>
      </c>
      <c r="D17" s="4" t="s">
        <v>248</v>
      </c>
      <c r="E17" s="47">
        <v>21</v>
      </c>
      <c r="F17" s="4" t="s">
        <v>171</v>
      </c>
      <c r="G17" s="67">
        <f>'Stavební rozpočet'!G18</f>
        <v>18.45</v>
      </c>
      <c r="H17" s="67">
        <f>'Stavební rozpočet'!H18</f>
        <v>0</v>
      </c>
      <c r="I17" s="67">
        <f t="shared" si="0"/>
        <v>0</v>
      </c>
      <c r="J17" s="67">
        <f t="shared" si="1"/>
        <v>0</v>
      </c>
      <c r="K17" s="67">
        <f t="shared" si="2"/>
        <v>0</v>
      </c>
      <c r="L17" s="67">
        <f>'Stavební rozpočet'!L18</f>
        <v>0</v>
      </c>
      <c r="M17" s="5">
        <f t="shared" si="3"/>
        <v>0</v>
      </c>
      <c r="HV17" s="4" t="s">
        <v>76</v>
      </c>
      <c r="HW17" s="4" t="s">
        <v>127</v>
      </c>
      <c r="IR17" s="31">
        <f t="shared" si="4"/>
        <v>0</v>
      </c>
      <c r="IS17" s="31">
        <f t="shared" si="5"/>
        <v>0</v>
      </c>
    </row>
    <row r="18" spans="1:13" ht="15" customHeight="1">
      <c r="A18" s="64" t="s">
        <v>239</v>
      </c>
      <c r="B18" s="3" t="s">
        <v>21</v>
      </c>
      <c r="C18" s="41" t="s">
        <v>210</v>
      </c>
      <c r="D18" s="3" t="s">
        <v>239</v>
      </c>
      <c r="E18" s="3" t="s">
        <v>239</v>
      </c>
      <c r="F18" s="3" t="s">
        <v>239</v>
      </c>
      <c r="G18" s="16" t="s">
        <v>239</v>
      </c>
      <c r="H18" s="16" t="s">
        <v>239</v>
      </c>
      <c r="I18" s="70">
        <f>SUM(I19:I22)</f>
        <v>0</v>
      </c>
      <c r="J18" s="70">
        <f>SUM(J19:J22)</f>
        <v>0</v>
      </c>
      <c r="K18" s="70">
        <f>SUM(K19:K22)</f>
        <v>0</v>
      </c>
      <c r="L18" s="16" t="s">
        <v>239</v>
      </c>
      <c r="M18" s="36">
        <f>SUM(M19:M22)</f>
        <v>0</v>
      </c>
    </row>
    <row r="19" spans="1:253" ht="15" customHeight="1">
      <c r="A19" s="82">
        <v>7</v>
      </c>
      <c r="B19" s="4" t="s">
        <v>100</v>
      </c>
      <c r="C19" s="76" t="s">
        <v>176</v>
      </c>
      <c r="D19" s="4" t="s">
        <v>248</v>
      </c>
      <c r="E19" s="47">
        <v>21</v>
      </c>
      <c r="F19" s="4" t="s">
        <v>71</v>
      </c>
      <c r="G19" s="67">
        <f>'Stavební rozpočet'!G20</f>
        <v>63.69344</v>
      </c>
      <c r="H19" s="67">
        <f>'Stavební rozpočet'!H20</f>
        <v>0</v>
      </c>
      <c r="I19" s="67">
        <f>IR19*G19</f>
        <v>0</v>
      </c>
      <c r="J19" s="67">
        <f>IS19*G19</f>
        <v>0</v>
      </c>
      <c r="K19" s="67">
        <f>IR19*G19+IS19*G19</f>
        <v>0</v>
      </c>
      <c r="L19" s="67">
        <f>'Stavební rozpočet'!L20</f>
        <v>0</v>
      </c>
      <c r="M19" s="5">
        <f>L19*G19</f>
        <v>0</v>
      </c>
      <c r="HV19" s="4" t="s">
        <v>21</v>
      </c>
      <c r="HW19" s="4" t="s">
        <v>127</v>
      </c>
      <c r="IR19" s="31">
        <f>H19*0</f>
        <v>0</v>
      </c>
      <c r="IS19" s="31">
        <f>H19*(1-0)</f>
        <v>0</v>
      </c>
    </row>
    <row r="20" spans="1:253" ht="15" customHeight="1">
      <c r="A20" s="82">
        <v>8</v>
      </c>
      <c r="B20" s="4" t="s">
        <v>162</v>
      </c>
      <c r="C20" s="76" t="s">
        <v>286</v>
      </c>
      <c r="D20" s="4" t="s">
        <v>248</v>
      </c>
      <c r="E20" s="47">
        <v>21</v>
      </c>
      <c r="F20" s="4" t="s">
        <v>49</v>
      </c>
      <c r="G20" s="67">
        <f>'Stavební rozpočet'!G21</f>
        <v>416.534</v>
      </c>
      <c r="H20" s="67">
        <f>'Stavební rozpočet'!H21</f>
        <v>0</v>
      </c>
      <c r="I20" s="67">
        <f>IR20*G20</f>
        <v>0</v>
      </c>
      <c r="J20" s="67">
        <f>IS20*G20</f>
        <v>0</v>
      </c>
      <c r="K20" s="67">
        <f>IR20*G20+IS20*G20</f>
        <v>0</v>
      </c>
      <c r="L20" s="67">
        <f>'Stavební rozpočet'!L21</f>
        <v>0</v>
      </c>
      <c r="M20" s="5">
        <f>L20*G20</f>
        <v>0</v>
      </c>
      <c r="HV20" s="4" t="s">
        <v>21</v>
      </c>
      <c r="HW20" s="4" t="s">
        <v>127</v>
      </c>
      <c r="IR20" s="31">
        <f>H20*0</f>
        <v>0</v>
      </c>
      <c r="IS20" s="31">
        <f>H20*(1-0)</f>
        <v>0</v>
      </c>
    </row>
    <row r="21" spans="1:13" ht="13.5" customHeight="1">
      <c r="A21" s="25"/>
      <c r="C21" s="76" t="s">
        <v>169</v>
      </c>
      <c r="M21" s="62"/>
    </row>
    <row r="22" spans="1:253" ht="15" customHeight="1">
      <c r="A22" s="82">
        <v>9</v>
      </c>
      <c r="B22" s="4" t="s">
        <v>237</v>
      </c>
      <c r="C22" s="76" t="s">
        <v>73</v>
      </c>
      <c r="D22" s="4" t="s">
        <v>248</v>
      </c>
      <c r="E22" s="47">
        <v>21</v>
      </c>
      <c r="F22" s="4" t="s">
        <v>171</v>
      </c>
      <c r="G22" s="67">
        <f>'Stavební rozpočet'!G23</f>
        <v>416.534</v>
      </c>
      <c r="H22" s="67">
        <f>'Stavební rozpočet'!H23</f>
        <v>0</v>
      </c>
      <c r="I22" s="67">
        <f>IR22*G22</f>
        <v>0</v>
      </c>
      <c r="J22" s="67">
        <f>IS22*G22</f>
        <v>0</v>
      </c>
      <c r="K22" s="67">
        <f>IR22*G22+IS22*G22</f>
        <v>0</v>
      </c>
      <c r="L22" s="67">
        <f>'Stavební rozpočet'!L23</f>
        <v>0</v>
      </c>
      <c r="M22" s="5">
        <f>L22*G22</f>
        <v>0</v>
      </c>
      <c r="HV22" s="4" t="s">
        <v>21</v>
      </c>
      <c r="HW22" s="4" t="s">
        <v>127</v>
      </c>
      <c r="IR22" s="31">
        <f>H22*0</f>
        <v>0</v>
      </c>
      <c r="IS22" s="31">
        <f>H22*(1-0)</f>
        <v>0</v>
      </c>
    </row>
    <row r="23" spans="1:13" ht="15" customHeight="1">
      <c r="A23" s="64" t="s">
        <v>239</v>
      </c>
      <c r="B23" s="3" t="s">
        <v>172</v>
      </c>
      <c r="C23" s="41" t="s">
        <v>39</v>
      </c>
      <c r="D23" s="3" t="s">
        <v>239</v>
      </c>
      <c r="E23" s="3" t="s">
        <v>239</v>
      </c>
      <c r="F23" s="3" t="s">
        <v>239</v>
      </c>
      <c r="G23" s="16" t="s">
        <v>239</v>
      </c>
      <c r="H23" s="16" t="s">
        <v>239</v>
      </c>
      <c r="I23" s="70">
        <f>SUM(I24:I29)</f>
        <v>0</v>
      </c>
      <c r="J23" s="70">
        <f>SUM(J24:J29)</f>
        <v>0</v>
      </c>
      <c r="K23" s="70">
        <f>SUM(K24:K29)</f>
        <v>0</v>
      </c>
      <c r="L23" s="16" t="s">
        <v>239</v>
      </c>
      <c r="M23" s="36">
        <f>SUM(M24:M29)</f>
        <v>609.7121999999999</v>
      </c>
    </row>
    <row r="24" spans="1:253" ht="15" customHeight="1">
      <c r="A24" s="82">
        <v>10</v>
      </c>
      <c r="B24" s="4" t="s">
        <v>183</v>
      </c>
      <c r="C24" s="76" t="s">
        <v>130</v>
      </c>
      <c r="D24" s="4" t="s">
        <v>248</v>
      </c>
      <c r="E24" s="47">
        <v>21</v>
      </c>
      <c r="F24" s="4" t="s">
        <v>217</v>
      </c>
      <c r="G24" s="67">
        <f>'Stavební rozpočet'!G25</f>
        <v>368.00088</v>
      </c>
      <c r="H24" s="67">
        <f>'Stavební rozpočet'!H25</f>
        <v>0</v>
      </c>
      <c r="I24" s="67">
        <f>IR24*G24</f>
        <v>0</v>
      </c>
      <c r="J24" s="67">
        <f>IS24*G24</f>
        <v>0</v>
      </c>
      <c r="K24" s="67">
        <f>IR24*G24+IS24*G24</f>
        <v>0</v>
      </c>
      <c r="L24" s="67">
        <f>'Stavební rozpočet'!L25</f>
        <v>0</v>
      </c>
      <c r="M24" s="5">
        <f>L24*G24</f>
        <v>0</v>
      </c>
      <c r="HV24" s="4" t="s">
        <v>172</v>
      </c>
      <c r="HW24" s="4" t="s">
        <v>127</v>
      </c>
      <c r="IR24" s="31">
        <f>H24*0</f>
        <v>0</v>
      </c>
      <c r="IS24" s="31">
        <f>H24*(1-0)</f>
        <v>0</v>
      </c>
    </row>
    <row r="25" spans="1:253" ht="15" customHeight="1">
      <c r="A25" s="82">
        <v>11</v>
      </c>
      <c r="B25" s="4" t="s">
        <v>223</v>
      </c>
      <c r="C25" s="76" t="s">
        <v>62</v>
      </c>
      <c r="D25" s="4" t="s">
        <v>119</v>
      </c>
      <c r="E25" s="47">
        <v>21</v>
      </c>
      <c r="F25" s="4" t="s">
        <v>125</v>
      </c>
      <c r="G25" s="67">
        <f>'Stavební rozpočet'!G26</f>
        <v>499.15128</v>
      </c>
      <c r="H25" s="67">
        <f>'Stavební rozpočet'!H26</f>
        <v>0</v>
      </c>
      <c r="I25" s="67">
        <f>IR25*G25</f>
        <v>0</v>
      </c>
      <c r="J25" s="67">
        <f>IS25*G25</f>
        <v>0</v>
      </c>
      <c r="K25" s="67">
        <f>IR25*G25+IS25*G25</f>
        <v>0</v>
      </c>
      <c r="L25" s="67">
        <f>'Stavební rozpočet'!L26</f>
        <v>1</v>
      </c>
      <c r="M25" s="5">
        <f>L25*G25</f>
        <v>499.15128</v>
      </c>
      <c r="HV25" s="4" t="s">
        <v>172</v>
      </c>
      <c r="HW25" s="4" t="s">
        <v>177</v>
      </c>
      <c r="IR25" s="31">
        <f>H25*1</f>
        <v>0</v>
      </c>
      <c r="IS25" s="31">
        <f>H25*(1-1)</f>
        <v>0</v>
      </c>
    </row>
    <row r="26" spans="1:253" ht="15" customHeight="1">
      <c r="A26" s="82">
        <v>12</v>
      </c>
      <c r="B26" s="4" t="s">
        <v>197</v>
      </c>
      <c r="C26" s="76" t="s">
        <v>115</v>
      </c>
      <c r="D26" s="4" t="s">
        <v>119</v>
      </c>
      <c r="E26" s="47">
        <v>21</v>
      </c>
      <c r="F26" s="4" t="s">
        <v>33</v>
      </c>
      <c r="G26" s="67">
        <f>'Stavební rozpočet'!G27</f>
        <v>110.56092</v>
      </c>
      <c r="H26" s="67">
        <f>'Stavební rozpočet'!H27</f>
        <v>0</v>
      </c>
      <c r="I26" s="67">
        <f>IR26*G26</f>
        <v>0</v>
      </c>
      <c r="J26" s="67">
        <f>IS26*G26</f>
        <v>0</v>
      </c>
      <c r="K26" s="67">
        <f>IR26*G26+IS26*G26</f>
        <v>0</v>
      </c>
      <c r="L26" s="67">
        <f>'Stavební rozpočet'!L27</f>
        <v>1</v>
      </c>
      <c r="M26" s="5">
        <f>L26*G26</f>
        <v>110.56092</v>
      </c>
      <c r="HV26" s="4" t="s">
        <v>172</v>
      </c>
      <c r="HW26" s="4" t="s">
        <v>177</v>
      </c>
      <c r="IR26" s="31">
        <f>H26*1</f>
        <v>0</v>
      </c>
      <c r="IS26" s="31">
        <f>H26*(1-1)</f>
        <v>0</v>
      </c>
    </row>
    <row r="27" spans="1:253" ht="15" customHeight="1">
      <c r="A27" s="91" t="s">
        <v>171</v>
      </c>
      <c r="B27" s="92"/>
      <c r="C27" s="92"/>
      <c r="D27" s="92"/>
      <c r="E27" s="92"/>
      <c r="F27" s="4" t="s">
        <v>85</v>
      </c>
      <c r="G27" s="67">
        <v>20.8</v>
      </c>
      <c r="H27" s="67">
        <f>'Stavební rozpočet'!H27</f>
        <v>0</v>
      </c>
      <c r="M27" s="62"/>
      <c r="HV27" s="4" t="s">
        <v>172</v>
      </c>
      <c r="HW27" s="4" t="s">
        <v>177</v>
      </c>
      <c r="IR27" s="31">
        <f>H27*1</f>
        <v>0</v>
      </c>
      <c r="IS27" s="31">
        <f>H27*(1-1)</f>
        <v>0</v>
      </c>
    </row>
    <row r="28" spans="1:253" ht="15" customHeight="1">
      <c r="A28" s="82">
        <v>13</v>
      </c>
      <c r="B28" s="4" t="s">
        <v>4</v>
      </c>
      <c r="C28" s="76" t="s">
        <v>109</v>
      </c>
      <c r="D28" s="4" t="s">
        <v>119</v>
      </c>
      <c r="E28" s="47">
        <v>21</v>
      </c>
      <c r="F28" s="4" t="s">
        <v>171</v>
      </c>
      <c r="G28" s="67">
        <f>'Stavební rozpočet'!G28</f>
        <v>609.7122</v>
      </c>
      <c r="H28" s="67">
        <f>'Stavební rozpočet'!H28</f>
        <v>0</v>
      </c>
      <c r="I28" s="67">
        <f>IR28*G28</f>
        <v>0</v>
      </c>
      <c r="J28" s="67">
        <f>IS28*G28</f>
        <v>0</v>
      </c>
      <c r="K28" s="67">
        <f>IR28*G28+IS28*G28</f>
        <v>0</v>
      </c>
      <c r="L28" s="67">
        <f>'Stavební rozpočet'!L28</f>
        <v>0</v>
      </c>
      <c r="M28" s="5">
        <f>L28*G28</f>
        <v>0</v>
      </c>
      <c r="HV28" s="4" t="s">
        <v>172</v>
      </c>
      <c r="HW28" s="4" t="s">
        <v>127</v>
      </c>
      <c r="IR28" s="31">
        <f>H28*0</f>
        <v>0</v>
      </c>
      <c r="IS28" s="31">
        <f>H28*(1-0)</f>
        <v>0</v>
      </c>
    </row>
    <row r="29" spans="1:253" ht="15" customHeight="1">
      <c r="A29" s="82">
        <v>14</v>
      </c>
      <c r="B29" s="4" t="s">
        <v>110</v>
      </c>
      <c r="C29" s="76" t="s">
        <v>241</v>
      </c>
      <c r="D29" s="4" t="s">
        <v>119</v>
      </c>
      <c r="E29" s="47">
        <v>21</v>
      </c>
      <c r="F29" s="4" t="s">
        <v>138</v>
      </c>
      <c r="G29" s="67">
        <f>'Stavební rozpočet'!G29</f>
        <v>3658.272</v>
      </c>
      <c r="H29" s="67">
        <f>'Stavební rozpočet'!H29</f>
        <v>0</v>
      </c>
      <c r="I29" s="67">
        <f>IR29*G29</f>
        <v>0</v>
      </c>
      <c r="J29" s="67">
        <f>IS29*G29</f>
        <v>0</v>
      </c>
      <c r="K29" s="67">
        <f>IR29*G29+IS29*G29</f>
        <v>0</v>
      </c>
      <c r="L29" s="67">
        <f>'Stavební rozpočet'!L29</f>
        <v>0</v>
      </c>
      <c r="M29" s="5">
        <f>L29*G29</f>
        <v>0</v>
      </c>
      <c r="HV29" s="4" t="s">
        <v>172</v>
      </c>
      <c r="HW29" s="4" t="s">
        <v>127</v>
      </c>
      <c r="IR29" s="31">
        <f>H29*0</f>
        <v>0</v>
      </c>
      <c r="IS29" s="31">
        <f>H29*(1-0)</f>
        <v>0</v>
      </c>
    </row>
    <row r="30" spans="1:13" ht="15" customHeight="1">
      <c r="A30" s="64" t="s">
        <v>239</v>
      </c>
      <c r="B30" s="3" t="s">
        <v>203</v>
      </c>
      <c r="C30" s="41" t="s">
        <v>265</v>
      </c>
      <c r="D30" s="3" t="s">
        <v>239</v>
      </c>
      <c r="E30" s="3" t="s">
        <v>239</v>
      </c>
      <c r="F30" s="3" t="s">
        <v>239</v>
      </c>
      <c r="G30" s="16" t="s">
        <v>239</v>
      </c>
      <c r="H30" s="16" t="s">
        <v>239</v>
      </c>
      <c r="I30" s="70">
        <f>SUM(I31:I31)</f>
        <v>0</v>
      </c>
      <c r="J30" s="70">
        <f>SUM(J31:J31)</f>
        <v>0</v>
      </c>
      <c r="K30" s="70">
        <f>SUM(K31:K31)</f>
        <v>0</v>
      </c>
      <c r="L30" s="16" t="s">
        <v>239</v>
      </c>
      <c r="M30" s="36">
        <f>SUM(M31:M31)</f>
        <v>0</v>
      </c>
    </row>
    <row r="31" spans="1:253" ht="15" customHeight="1">
      <c r="A31" s="82">
        <v>15</v>
      </c>
      <c r="B31" s="4" t="s">
        <v>87</v>
      </c>
      <c r="C31" s="76" t="s">
        <v>160</v>
      </c>
      <c r="D31" s="4" t="s">
        <v>253</v>
      </c>
      <c r="E31" s="47">
        <v>21</v>
      </c>
      <c r="F31" s="4" t="s">
        <v>234</v>
      </c>
      <c r="G31" s="67">
        <f>'Stavební rozpočet'!G31</f>
        <v>198.32</v>
      </c>
      <c r="H31" s="67">
        <f>'Stavební rozpočet'!H31</f>
        <v>0</v>
      </c>
      <c r="I31" s="67">
        <f>IR31*G31</f>
        <v>0</v>
      </c>
      <c r="J31" s="67">
        <f>IS31*G31</f>
        <v>0</v>
      </c>
      <c r="K31" s="67">
        <f>IR31*G31+IS31*G31</f>
        <v>0</v>
      </c>
      <c r="L31" s="67">
        <f>'Stavební rozpočet'!L31</f>
        <v>0</v>
      </c>
      <c r="M31" s="5">
        <f>L31*G31</f>
        <v>0</v>
      </c>
      <c r="HV31" s="4" t="s">
        <v>203</v>
      </c>
      <c r="HW31" s="4" t="s">
        <v>127</v>
      </c>
      <c r="IR31" s="31">
        <f>H31*0</f>
        <v>0</v>
      </c>
      <c r="IS31" s="31">
        <f>H31*(1-0)</f>
        <v>0</v>
      </c>
    </row>
    <row r="32" spans="1:13" ht="15" customHeight="1">
      <c r="A32" s="64" t="s">
        <v>239</v>
      </c>
      <c r="B32" s="3" t="s">
        <v>178</v>
      </c>
      <c r="C32" s="41" t="s">
        <v>86</v>
      </c>
      <c r="D32" s="3" t="s">
        <v>239</v>
      </c>
      <c r="E32" s="3" t="s">
        <v>239</v>
      </c>
      <c r="F32" s="3" t="s">
        <v>239</v>
      </c>
      <c r="G32" s="16" t="s">
        <v>239</v>
      </c>
      <c r="H32" s="16" t="s">
        <v>239</v>
      </c>
      <c r="I32" s="70">
        <f>SUM(I33:I42)</f>
        <v>0</v>
      </c>
      <c r="J32" s="70">
        <f>SUM(J33:J42)</f>
        <v>0</v>
      </c>
      <c r="K32" s="70">
        <f>SUM(K33:K42)</f>
        <v>0</v>
      </c>
      <c r="L32" s="16" t="s">
        <v>239</v>
      </c>
      <c r="M32" s="36">
        <f>SUM(M33:M42)</f>
        <v>29.116021519999997</v>
      </c>
    </row>
    <row r="33" spans="1:253" ht="15" customHeight="1">
      <c r="A33" s="82">
        <v>16</v>
      </c>
      <c r="B33" s="4" t="s">
        <v>7</v>
      </c>
      <c r="C33" s="76" t="s">
        <v>293</v>
      </c>
      <c r="D33" s="4" t="s">
        <v>248</v>
      </c>
      <c r="E33" s="47">
        <v>21</v>
      </c>
      <c r="F33" s="4" t="s">
        <v>74</v>
      </c>
      <c r="G33" s="67">
        <f>'Stavební rozpočet'!G33</f>
        <v>8.03712</v>
      </c>
      <c r="H33" s="67">
        <f>'Stavební rozpočet'!H33</f>
        <v>0</v>
      </c>
      <c r="I33" s="67">
        <f aca="true" t="shared" si="6" ref="I33:I42">IR33*G33</f>
        <v>0</v>
      </c>
      <c r="J33" s="67">
        <f aca="true" t="shared" si="7" ref="J33:J42">IS33*G33</f>
        <v>0</v>
      </c>
      <c r="K33" s="67">
        <f aca="true" t="shared" si="8" ref="K33:K42">IR33*G33+IS33*G33</f>
        <v>0</v>
      </c>
      <c r="L33" s="67">
        <f>'Stavební rozpočet'!L33</f>
        <v>1.665</v>
      </c>
      <c r="M33" s="5">
        <f aca="true" t="shared" si="9" ref="M33:M42">L33*G33</f>
        <v>13.3818048</v>
      </c>
      <c r="HV33" s="4" t="s">
        <v>178</v>
      </c>
      <c r="HW33" s="4" t="s">
        <v>127</v>
      </c>
      <c r="IR33" s="31">
        <f>H33*0.724478792235802</f>
        <v>0</v>
      </c>
      <c r="IS33" s="31">
        <f>H33*(1-0.724478792235802)</f>
        <v>0</v>
      </c>
    </row>
    <row r="34" spans="1:253" ht="15" customHeight="1">
      <c r="A34" s="82">
        <v>17</v>
      </c>
      <c r="B34" s="4" t="s">
        <v>113</v>
      </c>
      <c r="C34" s="76" t="s">
        <v>126</v>
      </c>
      <c r="D34" s="4" t="s">
        <v>248</v>
      </c>
      <c r="E34" s="47">
        <v>21</v>
      </c>
      <c r="F34" s="83" t="s">
        <v>302</v>
      </c>
      <c r="G34" s="67">
        <f>'Stavební rozpočet'!G34</f>
        <v>8.03712</v>
      </c>
      <c r="H34" s="67">
        <f>'Stavební rozpočet'!H34</f>
        <v>0</v>
      </c>
      <c r="I34" s="67">
        <f t="shared" si="6"/>
        <v>0</v>
      </c>
      <c r="J34" s="67">
        <f t="shared" si="7"/>
        <v>0</v>
      </c>
      <c r="K34" s="67">
        <f t="shared" si="8"/>
        <v>0</v>
      </c>
      <c r="L34" s="67">
        <f>'Stavební rozpočet'!L34</f>
        <v>1.63</v>
      </c>
      <c r="M34" s="5">
        <f t="shared" si="9"/>
        <v>13.100505599999998</v>
      </c>
      <c r="HV34" s="4" t="s">
        <v>178</v>
      </c>
      <c r="HW34" s="4" t="s">
        <v>127</v>
      </c>
      <c r="IR34" s="31">
        <f>H34*0.578364217252396</f>
        <v>0</v>
      </c>
      <c r="IS34" s="31">
        <f>H34*(1-0.578364217252396)</f>
        <v>0</v>
      </c>
    </row>
    <row r="35" spans="1:253" ht="15" customHeight="1">
      <c r="A35" s="82">
        <v>18</v>
      </c>
      <c r="B35" s="4" t="s">
        <v>152</v>
      </c>
      <c r="C35" s="76" t="s">
        <v>82</v>
      </c>
      <c r="D35" s="4" t="s">
        <v>209</v>
      </c>
      <c r="E35" s="47">
        <v>21</v>
      </c>
      <c r="F35" s="83" t="s">
        <v>303</v>
      </c>
      <c r="G35" s="67">
        <f>'Stavební rozpočet'!G35</f>
        <v>28.34</v>
      </c>
      <c r="H35" s="67">
        <f>'Stavební rozpočet'!H35</f>
        <v>0</v>
      </c>
      <c r="I35" s="67">
        <f t="shared" si="6"/>
        <v>0</v>
      </c>
      <c r="J35" s="67">
        <f t="shared" si="7"/>
        <v>0</v>
      </c>
      <c r="K35" s="67">
        <f t="shared" si="8"/>
        <v>0</v>
      </c>
      <c r="L35" s="67">
        <f>'Stavební rozpočet'!L35</f>
        <v>0</v>
      </c>
      <c r="M35" s="5">
        <f t="shared" si="9"/>
        <v>0</v>
      </c>
      <c r="HV35" s="4" t="s">
        <v>178</v>
      </c>
      <c r="HW35" s="4" t="s">
        <v>127</v>
      </c>
      <c r="IR35" s="31">
        <f>H35*0</f>
        <v>0</v>
      </c>
      <c r="IS35" s="31">
        <f>H35*(1-0)</f>
        <v>0</v>
      </c>
    </row>
    <row r="36" spans="1:253" ht="15" customHeight="1">
      <c r="A36" s="82">
        <v>19</v>
      </c>
      <c r="B36" s="4" t="s">
        <v>273</v>
      </c>
      <c r="C36" s="76" t="s">
        <v>295</v>
      </c>
      <c r="D36" s="4" t="s">
        <v>209</v>
      </c>
      <c r="E36" s="47">
        <v>21</v>
      </c>
      <c r="F36" s="83" t="s">
        <v>272</v>
      </c>
      <c r="G36" s="67">
        <f>'Stavební rozpočet'!G36</f>
        <v>25.78</v>
      </c>
      <c r="H36" s="67">
        <f>'Stavební rozpočet'!H36</f>
        <v>0</v>
      </c>
      <c r="I36" s="67">
        <f t="shared" si="6"/>
        <v>0</v>
      </c>
      <c r="J36" s="67">
        <f t="shared" si="7"/>
        <v>0</v>
      </c>
      <c r="K36" s="67">
        <f t="shared" si="8"/>
        <v>0</v>
      </c>
      <c r="L36" s="67">
        <f>'Stavební rozpočet'!L36</f>
        <v>0.00096</v>
      </c>
      <c r="M36" s="5">
        <f t="shared" si="9"/>
        <v>0.0247488</v>
      </c>
      <c r="HV36" s="4" t="s">
        <v>178</v>
      </c>
      <c r="HW36" s="4" t="s">
        <v>177</v>
      </c>
      <c r="IR36" s="31">
        <f>H36*1</f>
        <v>0</v>
      </c>
      <c r="IS36" s="31">
        <f>H36*(1-1)</f>
        <v>0</v>
      </c>
    </row>
    <row r="37" spans="1:253" ht="15" customHeight="1">
      <c r="A37" s="82">
        <v>20</v>
      </c>
      <c r="B37" s="4" t="s">
        <v>89</v>
      </c>
      <c r="C37" s="76" t="s">
        <v>225</v>
      </c>
      <c r="D37" s="4" t="s">
        <v>253</v>
      </c>
      <c r="E37" s="47">
        <v>21</v>
      </c>
      <c r="F37" s="4" t="s">
        <v>184</v>
      </c>
      <c r="G37" s="67">
        <f>'Stavební rozpočet'!G37</f>
        <v>142.176</v>
      </c>
      <c r="H37" s="67">
        <f>'Stavební rozpočet'!H37</f>
        <v>0</v>
      </c>
      <c r="I37" s="67">
        <f t="shared" si="6"/>
        <v>0</v>
      </c>
      <c r="J37" s="67">
        <f t="shared" si="7"/>
        <v>0</v>
      </c>
      <c r="K37" s="67">
        <f t="shared" si="8"/>
        <v>0</v>
      </c>
      <c r="L37" s="67">
        <f>'Stavební rozpočet'!L37</f>
        <v>4E-05</v>
      </c>
      <c r="M37" s="5">
        <f t="shared" si="9"/>
        <v>0.00568704</v>
      </c>
      <c r="HV37" s="4" t="s">
        <v>178</v>
      </c>
      <c r="HW37" s="4" t="s">
        <v>127</v>
      </c>
      <c r="IR37" s="31">
        <f>H37*0.0306620209059233</f>
        <v>0</v>
      </c>
      <c r="IS37" s="31">
        <f>H37*(1-0.0306620209059233)</f>
        <v>0</v>
      </c>
    </row>
    <row r="38" spans="1:253" ht="15" customHeight="1">
      <c r="A38" s="82">
        <v>21</v>
      </c>
      <c r="B38" s="4" t="s">
        <v>101</v>
      </c>
      <c r="C38" s="76" t="s">
        <v>35</v>
      </c>
      <c r="D38" s="4" t="s">
        <v>253</v>
      </c>
      <c r="E38" s="47">
        <v>21</v>
      </c>
      <c r="F38" s="83" t="s">
        <v>304</v>
      </c>
      <c r="G38" s="67">
        <f>'Stavební rozpočet'!G38</f>
        <v>156.3936</v>
      </c>
      <c r="H38" s="67">
        <f>'Stavební rozpočet'!H38</f>
        <v>0</v>
      </c>
      <c r="I38" s="67">
        <f t="shared" si="6"/>
        <v>0</v>
      </c>
      <c r="J38" s="67">
        <f t="shared" si="7"/>
        <v>0</v>
      </c>
      <c r="K38" s="67">
        <f t="shared" si="8"/>
        <v>0</v>
      </c>
      <c r="L38" s="67">
        <f>'Stavební rozpočet'!L38</f>
        <v>0.0003</v>
      </c>
      <c r="M38" s="5">
        <f t="shared" si="9"/>
        <v>0.046918079999999994</v>
      </c>
      <c r="HV38" s="4" t="s">
        <v>178</v>
      </c>
      <c r="HW38" s="4" t="s">
        <v>177</v>
      </c>
      <c r="IR38" s="31">
        <f>H38*1</f>
        <v>0</v>
      </c>
      <c r="IS38" s="31">
        <f>H38*(1-1)</f>
        <v>0</v>
      </c>
    </row>
    <row r="39" spans="1:253" ht="15" customHeight="1">
      <c r="A39" s="82">
        <v>22</v>
      </c>
      <c r="B39" s="4" t="s">
        <v>107</v>
      </c>
      <c r="C39" s="76" t="s">
        <v>277</v>
      </c>
      <c r="D39" s="4" t="s">
        <v>65</v>
      </c>
      <c r="E39" s="47">
        <v>21</v>
      </c>
      <c r="F39" s="4" t="s">
        <v>171</v>
      </c>
      <c r="G39" s="67">
        <f>'Stavební rozpočet'!G39</f>
        <v>16</v>
      </c>
      <c r="H39" s="67">
        <f>'Stavební rozpočet'!H39</f>
        <v>0</v>
      </c>
      <c r="I39" s="67">
        <f t="shared" si="6"/>
        <v>0</v>
      </c>
      <c r="J39" s="67">
        <f t="shared" si="7"/>
        <v>0</v>
      </c>
      <c r="K39" s="67">
        <f t="shared" si="8"/>
        <v>0</v>
      </c>
      <c r="L39" s="67">
        <f>'Stavební rozpočet'!L39</f>
        <v>0</v>
      </c>
      <c r="M39" s="5">
        <f t="shared" si="9"/>
        <v>0</v>
      </c>
      <c r="HV39" s="4" t="s">
        <v>178</v>
      </c>
      <c r="HW39" s="4" t="s">
        <v>127</v>
      </c>
      <c r="IR39" s="31">
        <f>H39*0</f>
        <v>0</v>
      </c>
      <c r="IS39" s="31">
        <f>H39*(1-0)</f>
        <v>0</v>
      </c>
    </row>
    <row r="40" spans="1:253" ht="15" customHeight="1">
      <c r="A40" s="82">
        <v>23</v>
      </c>
      <c r="B40" s="4" t="s">
        <v>281</v>
      </c>
      <c r="C40" s="76" t="s">
        <v>260</v>
      </c>
      <c r="D40" s="4" t="s">
        <v>175</v>
      </c>
      <c r="E40" s="47">
        <v>21</v>
      </c>
      <c r="F40" s="83" t="s">
        <v>308</v>
      </c>
      <c r="G40" s="67">
        <f>'Stavební rozpočet'!G40</f>
        <v>16</v>
      </c>
      <c r="H40" s="67">
        <f>'Stavební rozpočet'!H40</f>
        <v>0</v>
      </c>
      <c r="I40" s="67">
        <f t="shared" si="6"/>
        <v>0</v>
      </c>
      <c r="J40" s="67">
        <f t="shared" si="7"/>
        <v>0</v>
      </c>
      <c r="K40" s="67">
        <f t="shared" si="8"/>
        <v>0</v>
      </c>
      <c r="L40" s="67">
        <f>'Stavební rozpočet'!L40</f>
        <v>0.146</v>
      </c>
      <c r="M40" s="5">
        <f t="shared" si="9"/>
        <v>2.336</v>
      </c>
      <c r="HV40" s="4" t="s">
        <v>178</v>
      </c>
      <c r="HW40" s="4" t="s">
        <v>177</v>
      </c>
      <c r="IR40" s="31">
        <f>H40*1</f>
        <v>0</v>
      </c>
      <c r="IS40" s="31">
        <f>H40*(1-1)</f>
        <v>0</v>
      </c>
    </row>
    <row r="41" spans="1:253" ht="15" customHeight="1">
      <c r="A41" s="82">
        <v>24</v>
      </c>
      <c r="B41" s="4" t="s">
        <v>146</v>
      </c>
      <c r="C41" s="76" t="s">
        <v>29</v>
      </c>
      <c r="D41" s="4" t="s">
        <v>209</v>
      </c>
      <c r="E41" s="47">
        <v>21</v>
      </c>
      <c r="F41" s="83" t="s">
        <v>305</v>
      </c>
      <c r="G41" s="67">
        <f>'Stavební rozpočet'!G41</f>
        <v>28.36</v>
      </c>
      <c r="H41" s="67">
        <f>'Stavební rozpočet'!H41</f>
        <v>0</v>
      </c>
      <c r="I41" s="67">
        <f t="shared" si="6"/>
        <v>0</v>
      </c>
      <c r="J41" s="67">
        <f t="shared" si="7"/>
        <v>0</v>
      </c>
      <c r="K41" s="67">
        <f t="shared" si="8"/>
        <v>0</v>
      </c>
      <c r="L41" s="67">
        <f>'Stavební rozpočet'!L41</f>
        <v>0.00777</v>
      </c>
      <c r="M41" s="5">
        <f t="shared" si="9"/>
        <v>0.2203572</v>
      </c>
      <c r="HV41" s="4" t="s">
        <v>178</v>
      </c>
      <c r="HW41" s="4" t="s">
        <v>127</v>
      </c>
      <c r="IR41" s="31">
        <f>H41*0.904229885057471</f>
        <v>0</v>
      </c>
      <c r="IS41" s="31">
        <f>H41*(1-0.904229885057471)</f>
        <v>0</v>
      </c>
    </row>
    <row r="42" spans="1:253" ht="15" customHeight="1">
      <c r="A42" s="82">
        <v>25</v>
      </c>
      <c r="B42" s="4" t="s">
        <v>227</v>
      </c>
      <c r="C42" s="76" t="s">
        <v>163</v>
      </c>
      <c r="D42" s="4" t="s">
        <v>119</v>
      </c>
      <c r="E42" s="47">
        <v>21</v>
      </c>
      <c r="F42" s="4" t="s">
        <v>171</v>
      </c>
      <c r="G42" s="67">
        <f>'Stavební rozpočet'!G42</f>
        <v>29.09597</v>
      </c>
      <c r="H42" s="67">
        <f>'Stavební rozpočet'!H42</f>
        <v>0</v>
      </c>
      <c r="I42" s="67">
        <f t="shared" si="6"/>
        <v>0</v>
      </c>
      <c r="J42" s="67">
        <f t="shared" si="7"/>
        <v>0</v>
      </c>
      <c r="K42" s="67">
        <f t="shared" si="8"/>
        <v>0</v>
      </c>
      <c r="L42" s="67">
        <f>'Stavební rozpočet'!L42</f>
        <v>0</v>
      </c>
      <c r="M42" s="5">
        <f t="shared" si="9"/>
        <v>0</v>
      </c>
      <c r="HV42" s="4" t="s">
        <v>178</v>
      </c>
      <c r="HW42" s="4" t="s">
        <v>127</v>
      </c>
      <c r="IR42" s="31">
        <f>H42*0</f>
        <v>0</v>
      </c>
      <c r="IS42" s="31">
        <f>H42*(1-0)</f>
        <v>0</v>
      </c>
    </row>
    <row r="43" spans="1:13" ht="15" customHeight="1">
      <c r="A43" s="64" t="s">
        <v>239</v>
      </c>
      <c r="B43" s="3" t="s">
        <v>251</v>
      </c>
      <c r="C43" s="41" t="s">
        <v>208</v>
      </c>
      <c r="D43" s="3" t="s">
        <v>239</v>
      </c>
      <c r="E43" s="3" t="s">
        <v>239</v>
      </c>
      <c r="F43" s="3" t="s">
        <v>239</v>
      </c>
      <c r="G43" s="16" t="s">
        <v>239</v>
      </c>
      <c r="H43" s="16" t="s">
        <v>239</v>
      </c>
      <c r="I43" s="70">
        <f>SUM(I44:I48)</f>
        <v>0</v>
      </c>
      <c r="J43" s="70">
        <f>SUM(J44:J48)</f>
        <v>0</v>
      </c>
      <c r="K43" s="70">
        <f>SUM(K44:K48)</f>
        <v>0</v>
      </c>
      <c r="L43" s="16" t="s">
        <v>239</v>
      </c>
      <c r="M43" s="36">
        <f>SUM(M44:M48)</f>
        <v>0.940653456</v>
      </c>
    </row>
    <row r="44" spans="1:253" ht="15" customHeight="1">
      <c r="A44" s="82">
        <v>26</v>
      </c>
      <c r="B44" s="4" t="s">
        <v>50</v>
      </c>
      <c r="C44" s="76" t="s">
        <v>25</v>
      </c>
      <c r="D44" s="4" t="s">
        <v>248</v>
      </c>
      <c r="E44" s="47">
        <v>21</v>
      </c>
      <c r="F44" s="4" t="s">
        <v>193</v>
      </c>
      <c r="G44" s="67">
        <f>'Stavební rozpočet'!G44</f>
        <v>0.37234</v>
      </c>
      <c r="H44" s="67">
        <f>'Stavební rozpočet'!H44</f>
        <v>0</v>
      </c>
      <c r="I44" s="67">
        <f>IR44*G44</f>
        <v>0</v>
      </c>
      <c r="J44" s="67">
        <f>IS44*G44</f>
        <v>0</v>
      </c>
      <c r="K44" s="67">
        <f>IR44*G44+IS44*G44</f>
        <v>0</v>
      </c>
      <c r="L44" s="67">
        <f>'Stavební rozpočet'!L44</f>
        <v>2.525</v>
      </c>
      <c r="M44" s="5">
        <f>L44*G44</f>
        <v>0.9401585</v>
      </c>
      <c r="HV44" s="4" t="s">
        <v>251</v>
      </c>
      <c r="HW44" s="4" t="s">
        <v>127</v>
      </c>
      <c r="IR44" s="31">
        <f>H44*0.922862362971985</f>
        <v>0</v>
      </c>
      <c r="IS44" s="31">
        <f>H44*(1-0.922862362971985)</f>
        <v>0</v>
      </c>
    </row>
    <row r="45" spans="1:13" ht="13.5" customHeight="1">
      <c r="A45" s="25"/>
      <c r="C45" s="76" t="s">
        <v>173</v>
      </c>
      <c r="M45" s="62"/>
    </row>
    <row r="46" spans="1:253" ht="15" customHeight="1">
      <c r="A46" s="82">
        <v>27</v>
      </c>
      <c r="B46" s="4" t="s">
        <v>93</v>
      </c>
      <c r="C46" s="76" t="s">
        <v>221</v>
      </c>
      <c r="D46" s="4" t="s">
        <v>253</v>
      </c>
      <c r="E46" s="47">
        <v>21</v>
      </c>
      <c r="F46" s="4" t="s">
        <v>16</v>
      </c>
      <c r="G46" s="67">
        <f>'Stavební rozpočet'!G46</f>
        <v>2.47478</v>
      </c>
      <c r="H46" s="67">
        <f>'Stavební rozpočet'!H46</f>
        <v>0</v>
      </c>
      <c r="I46" s="67">
        <f>IR46*G46</f>
        <v>0</v>
      </c>
      <c r="J46" s="67">
        <f>IS46*G46</f>
        <v>0</v>
      </c>
      <c r="K46" s="67">
        <f>IR46*G46+IS46*G46</f>
        <v>0</v>
      </c>
      <c r="L46" s="67">
        <f>'Stavební rozpočet'!L46</f>
        <v>0.0002</v>
      </c>
      <c r="M46" s="5">
        <f>L46*G46</f>
        <v>0.0004949560000000001</v>
      </c>
      <c r="HV46" s="4" t="s">
        <v>251</v>
      </c>
      <c r="HW46" s="4" t="s">
        <v>127</v>
      </c>
      <c r="IR46" s="31">
        <f>H46*0.0287106017191977</f>
        <v>0</v>
      </c>
      <c r="IS46" s="31">
        <f>H46*(1-0.0287106017191977)</f>
        <v>0</v>
      </c>
    </row>
    <row r="47" spans="1:253" ht="15" customHeight="1">
      <c r="A47" s="82">
        <v>28</v>
      </c>
      <c r="B47" s="4" t="s">
        <v>231</v>
      </c>
      <c r="C47" s="76" t="s">
        <v>58</v>
      </c>
      <c r="D47" s="4" t="s">
        <v>253</v>
      </c>
      <c r="E47" s="47">
        <v>21</v>
      </c>
      <c r="F47" s="4" t="s">
        <v>42</v>
      </c>
      <c r="G47" s="67">
        <f>'Stavební rozpočet'!G47</f>
        <v>2.47478</v>
      </c>
      <c r="H47" s="67">
        <f>'Stavební rozpočet'!H47</f>
        <v>0</v>
      </c>
      <c r="I47" s="67">
        <f>IR47*G47</f>
        <v>0</v>
      </c>
      <c r="J47" s="67">
        <f>IS47*G47</f>
        <v>0</v>
      </c>
      <c r="K47" s="67">
        <f>IR47*G47+IS47*G47</f>
        <v>0</v>
      </c>
      <c r="L47" s="67">
        <f>'Stavební rozpočet'!L47</f>
        <v>0</v>
      </c>
      <c r="M47" s="5">
        <f>L47*G47</f>
        <v>0</v>
      </c>
      <c r="HV47" s="4" t="s">
        <v>251</v>
      </c>
      <c r="HW47" s="4" t="s">
        <v>127</v>
      </c>
      <c r="IR47" s="31">
        <f>H47*0</f>
        <v>0</v>
      </c>
      <c r="IS47" s="31">
        <f>H47*(1-0)</f>
        <v>0</v>
      </c>
    </row>
    <row r="48" spans="1:253" ht="15" customHeight="1">
      <c r="A48" s="82">
        <v>29</v>
      </c>
      <c r="B48" s="4" t="s">
        <v>284</v>
      </c>
      <c r="C48" s="76" t="s">
        <v>98</v>
      </c>
      <c r="D48" s="4" t="s">
        <v>119</v>
      </c>
      <c r="E48" s="47">
        <v>21</v>
      </c>
      <c r="F48" s="4" t="s">
        <v>171</v>
      </c>
      <c r="G48" s="67">
        <f>'Stavební rozpočet'!G48</f>
        <v>0.94065</v>
      </c>
      <c r="H48" s="67">
        <f>'Stavební rozpočet'!H48</f>
        <v>0</v>
      </c>
      <c r="I48" s="67">
        <f>IR48*G48</f>
        <v>0</v>
      </c>
      <c r="J48" s="67">
        <f>IS48*G48</f>
        <v>0</v>
      </c>
      <c r="K48" s="67">
        <f>IR48*G48+IS48*G48</f>
        <v>0</v>
      </c>
      <c r="L48" s="67">
        <f>'Stavební rozpočet'!L48</f>
        <v>0</v>
      </c>
      <c r="M48" s="5">
        <f>L48*G48</f>
        <v>0</v>
      </c>
      <c r="HV48" s="4" t="s">
        <v>251</v>
      </c>
      <c r="HW48" s="4" t="s">
        <v>127</v>
      </c>
      <c r="IR48" s="31">
        <f>H48*0</f>
        <v>0</v>
      </c>
      <c r="IS48" s="31">
        <f>H48*(1-0)</f>
        <v>0</v>
      </c>
    </row>
    <row r="49" spans="1:13" ht="15" customHeight="1">
      <c r="A49" s="64" t="s">
        <v>239</v>
      </c>
      <c r="B49" s="3" t="s">
        <v>135</v>
      </c>
      <c r="C49" s="41" t="s">
        <v>118</v>
      </c>
      <c r="D49" s="3" t="s">
        <v>239</v>
      </c>
      <c r="E49" s="3" t="s">
        <v>239</v>
      </c>
      <c r="F49" s="3" t="s">
        <v>239</v>
      </c>
      <c r="G49" s="16" t="s">
        <v>239</v>
      </c>
      <c r="H49" s="16" t="s">
        <v>239</v>
      </c>
      <c r="I49" s="70">
        <f>SUM(I50:I53)</f>
        <v>0</v>
      </c>
      <c r="J49" s="70">
        <f>SUM(J50:J53)</f>
        <v>0</v>
      </c>
      <c r="K49" s="70">
        <f>SUM(K50:K53)</f>
        <v>0</v>
      </c>
      <c r="L49" s="16" t="s">
        <v>239</v>
      </c>
      <c r="M49" s="36">
        <f>SUM(M50:M53)</f>
        <v>0.792396</v>
      </c>
    </row>
    <row r="50" spans="1:253" ht="15" customHeight="1">
      <c r="A50" s="82">
        <v>30</v>
      </c>
      <c r="B50" s="4" t="s">
        <v>45</v>
      </c>
      <c r="C50" s="76" t="s">
        <v>267</v>
      </c>
      <c r="D50" s="4" t="s">
        <v>253</v>
      </c>
      <c r="E50" s="47">
        <v>21</v>
      </c>
      <c r="F50" s="4" t="s">
        <v>222</v>
      </c>
      <c r="G50" s="67">
        <f>'Stavební rozpočet'!G50</f>
        <v>6.28</v>
      </c>
      <c r="H50" s="67">
        <f>'Stavební rozpočet'!H50</f>
        <v>0</v>
      </c>
      <c r="I50" s="67">
        <f>IR50*G50</f>
        <v>0</v>
      </c>
      <c r="J50" s="67">
        <f>IS50*G50</f>
        <v>0</v>
      </c>
      <c r="K50" s="67">
        <f>IR50*G50+IS50*G50</f>
        <v>0</v>
      </c>
      <c r="L50" s="67">
        <f>'Stavební rozpočet'!L50</f>
        <v>0.03045</v>
      </c>
      <c r="M50" s="5">
        <f>L50*G50</f>
        <v>0.191226</v>
      </c>
      <c r="HV50" s="4" t="s">
        <v>135</v>
      </c>
      <c r="HW50" s="4" t="s">
        <v>127</v>
      </c>
      <c r="IR50" s="31">
        <f>H50*0.166598754951896</f>
        <v>0</v>
      </c>
      <c r="IS50" s="31">
        <f>H50*(1-0.166598754951896)</f>
        <v>0</v>
      </c>
    </row>
    <row r="51" spans="1:13" ht="13.5" customHeight="1">
      <c r="A51" s="25"/>
      <c r="C51" s="76" t="s">
        <v>226</v>
      </c>
      <c r="M51" s="62"/>
    </row>
    <row r="52" spans="1:253" ht="15" customHeight="1">
      <c r="A52" s="82">
        <v>31</v>
      </c>
      <c r="B52" s="4" t="s">
        <v>292</v>
      </c>
      <c r="C52" s="76" t="s">
        <v>46</v>
      </c>
      <c r="D52" s="4" t="s">
        <v>253</v>
      </c>
      <c r="E52" s="47">
        <v>21</v>
      </c>
      <c r="F52" s="83" t="s">
        <v>306</v>
      </c>
      <c r="G52" s="67">
        <f>'Stavební rozpočet'!G52</f>
        <v>6.91</v>
      </c>
      <c r="H52" s="67">
        <f>'Stavební rozpočet'!H52</f>
        <v>0</v>
      </c>
      <c r="I52" s="67">
        <f>IR52*G52</f>
        <v>0</v>
      </c>
      <c r="J52" s="67">
        <f>IS52*G52</f>
        <v>0</v>
      </c>
      <c r="K52" s="67">
        <f>IR52*G52+IS52*G52</f>
        <v>0</v>
      </c>
      <c r="L52" s="67">
        <f>'Stavební rozpočet'!L52</f>
        <v>0.087</v>
      </c>
      <c r="M52" s="5">
        <f>L52*G52</f>
        <v>0.60117</v>
      </c>
      <c r="HV52" s="4" t="s">
        <v>135</v>
      </c>
      <c r="HW52" s="4" t="s">
        <v>177</v>
      </c>
      <c r="IR52" s="31">
        <f>H52*1</f>
        <v>0</v>
      </c>
      <c r="IS52" s="31">
        <f>H52*(1-1)</f>
        <v>0</v>
      </c>
    </row>
    <row r="53" spans="1:253" ht="15" customHeight="1">
      <c r="A53" s="82">
        <v>32</v>
      </c>
      <c r="B53" s="4" t="s">
        <v>5</v>
      </c>
      <c r="C53" s="76" t="s">
        <v>285</v>
      </c>
      <c r="D53" s="4" t="s">
        <v>119</v>
      </c>
      <c r="E53" s="47">
        <v>21</v>
      </c>
      <c r="F53" s="4" t="s">
        <v>171</v>
      </c>
      <c r="G53" s="67">
        <f>'Stavební rozpočet'!G53</f>
        <v>0.73759</v>
      </c>
      <c r="H53" s="67">
        <f>'Stavební rozpočet'!H53</f>
        <v>0</v>
      </c>
      <c r="I53" s="67">
        <f>IR53*G53</f>
        <v>0</v>
      </c>
      <c r="J53" s="67">
        <f>IS53*G53</f>
        <v>0</v>
      </c>
      <c r="K53" s="67">
        <f>IR53*G53+IS53*G53</f>
        <v>0</v>
      </c>
      <c r="L53" s="67">
        <f>'Stavební rozpočet'!L53</f>
        <v>0</v>
      </c>
      <c r="M53" s="5">
        <f>L53*G53</f>
        <v>0</v>
      </c>
      <c r="HV53" s="4" t="s">
        <v>135</v>
      </c>
      <c r="HW53" s="4" t="s">
        <v>127</v>
      </c>
      <c r="IR53" s="31">
        <f>H53*0</f>
        <v>0</v>
      </c>
      <c r="IS53" s="31">
        <f>H53*(1-0)</f>
        <v>0</v>
      </c>
    </row>
    <row r="54" spans="1:13" ht="15" customHeight="1">
      <c r="A54" s="64" t="s">
        <v>239</v>
      </c>
      <c r="B54" s="3" t="s">
        <v>266</v>
      </c>
      <c r="C54" s="41" t="s">
        <v>179</v>
      </c>
      <c r="D54" s="3" t="s">
        <v>239</v>
      </c>
      <c r="E54" s="3" t="s">
        <v>239</v>
      </c>
      <c r="F54" s="3" t="s">
        <v>239</v>
      </c>
      <c r="G54" s="16" t="s">
        <v>239</v>
      </c>
      <c r="H54" s="16" t="s">
        <v>239</v>
      </c>
      <c r="I54" s="70">
        <f>SUM(I55:I55)</f>
        <v>0</v>
      </c>
      <c r="J54" s="70">
        <f>SUM(J55:J55)</f>
        <v>0</v>
      </c>
      <c r="K54" s="70">
        <f>SUM(K55:K55)</f>
        <v>0</v>
      </c>
      <c r="L54" s="16" t="s">
        <v>239</v>
      </c>
      <c r="M54" s="36">
        <f>SUM(M55:M55)</f>
        <v>15.507138900000001</v>
      </c>
    </row>
    <row r="55" spans="1:253" ht="15" customHeight="1">
      <c r="A55" s="82">
        <v>33</v>
      </c>
      <c r="B55" s="4" t="s">
        <v>150</v>
      </c>
      <c r="C55" s="76" t="s">
        <v>288</v>
      </c>
      <c r="D55" s="4" t="s">
        <v>209</v>
      </c>
      <c r="E55" s="47">
        <v>21</v>
      </c>
      <c r="F55" s="83" t="s">
        <v>307</v>
      </c>
      <c r="G55" s="67">
        <f>'Stavební rozpočet'!G55</f>
        <v>13.53</v>
      </c>
      <c r="H55" s="67">
        <f>'Stavební rozpočet'!H55</f>
        <v>0</v>
      </c>
      <c r="I55" s="67">
        <f>IR55*G55</f>
        <v>0</v>
      </c>
      <c r="J55" s="67">
        <f>IS55*G55</f>
        <v>0</v>
      </c>
      <c r="K55" s="67">
        <f>IR55*G55+IS55*G55</f>
        <v>0</v>
      </c>
      <c r="L55" s="67">
        <f>'Stavební rozpočet'!L55</f>
        <v>1.14613</v>
      </c>
      <c r="M55" s="5">
        <f>L55*G55</f>
        <v>15.507138900000001</v>
      </c>
      <c r="HV55" s="4" t="s">
        <v>266</v>
      </c>
      <c r="HW55" s="4" t="s">
        <v>127</v>
      </c>
      <c r="IR55" s="31">
        <f>H55*0.518114758744288</f>
        <v>0</v>
      </c>
      <c r="IS55" s="31">
        <f>H55*(1-0.518114758744288)</f>
        <v>0</v>
      </c>
    </row>
    <row r="56" spans="1:13" ht="13.5" customHeight="1">
      <c r="A56" s="25"/>
      <c r="C56" s="76" t="s">
        <v>207</v>
      </c>
      <c r="M56" s="62"/>
    </row>
    <row r="57" spans="1:13" ht="15" customHeight="1">
      <c r="A57" s="64" t="s">
        <v>239</v>
      </c>
      <c r="B57" s="3" t="s">
        <v>278</v>
      </c>
      <c r="C57" s="41" t="s">
        <v>157</v>
      </c>
      <c r="D57" s="3" t="s">
        <v>239</v>
      </c>
      <c r="E57" s="3" t="s">
        <v>239</v>
      </c>
      <c r="F57" s="3" t="s">
        <v>239</v>
      </c>
      <c r="G57" s="16" t="s">
        <v>239</v>
      </c>
      <c r="H57" s="16" t="s">
        <v>239</v>
      </c>
      <c r="I57" s="70">
        <f>SUM(I58:I64)</f>
        <v>0</v>
      </c>
      <c r="J57" s="70">
        <f>SUM(J58:J64)</f>
        <v>0</v>
      </c>
      <c r="K57" s="70">
        <f>SUM(K58:K64)</f>
        <v>0</v>
      </c>
      <c r="L57" s="16" t="s">
        <v>239</v>
      </c>
      <c r="M57" s="36">
        <f>SUM(M58:M64)</f>
        <v>1.17536</v>
      </c>
    </row>
    <row r="58" spans="1:253" ht="24.75" customHeight="1">
      <c r="A58" s="82">
        <v>34</v>
      </c>
      <c r="B58" s="4" t="s">
        <v>37</v>
      </c>
      <c r="C58" s="76" t="s">
        <v>30</v>
      </c>
      <c r="D58" s="4" t="s">
        <v>65</v>
      </c>
      <c r="E58" s="47">
        <v>21</v>
      </c>
      <c r="F58" s="83" t="s">
        <v>181</v>
      </c>
      <c r="G58" s="67">
        <f>'Stavební rozpočet'!G58</f>
        <v>1</v>
      </c>
      <c r="H58" s="67">
        <f>'Stavební rozpočet'!H58</f>
        <v>0</v>
      </c>
      <c r="I58" s="67">
        <f>IR58*G58</f>
        <v>0</v>
      </c>
      <c r="J58" s="67">
        <f>IS58*G58</f>
        <v>0</v>
      </c>
      <c r="K58" s="67">
        <f>IR58*G58+IS58*G58</f>
        <v>0</v>
      </c>
      <c r="L58" s="67">
        <f>'Stavební rozpočet'!L58</f>
        <v>0.14592</v>
      </c>
      <c r="M58" s="5">
        <f>L58*G58</f>
        <v>0.14592</v>
      </c>
      <c r="HV58" s="4" t="s">
        <v>278</v>
      </c>
      <c r="HW58" s="4" t="s">
        <v>127</v>
      </c>
      <c r="IR58" s="31">
        <f>H58*0.93118796641791</f>
        <v>0</v>
      </c>
      <c r="IS58" s="31">
        <f>H58*(1-0.93118796641791)</f>
        <v>0</v>
      </c>
    </row>
    <row r="59" spans="1:13" ht="13.5" customHeight="1">
      <c r="A59" s="25"/>
      <c r="C59" s="76" t="s">
        <v>216</v>
      </c>
      <c r="M59" s="62"/>
    </row>
    <row r="60" spans="1:253" ht="15" customHeight="1">
      <c r="A60" s="82">
        <v>35</v>
      </c>
      <c r="B60" s="4" t="s">
        <v>246</v>
      </c>
      <c r="C60" s="76" t="s">
        <v>291</v>
      </c>
      <c r="D60" s="4" t="s">
        <v>65</v>
      </c>
      <c r="E60" s="47">
        <v>21</v>
      </c>
      <c r="F60" s="83" t="s">
        <v>300</v>
      </c>
      <c r="G60" s="67">
        <f>'Stavební rozpočet'!G60</f>
        <v>1</v>
      </c>
      <c r="H60" s="67">
        <f>'Stavební rozpočet'!H60</f>
        <v>0</v>
      </c>
      <c r="I60" s="67">
        <f>IR60*G60</f>
        <v>0</v>
      </c>
      <c r="J60" s="67">
        <f>IS60*G60</f>
        <v>0</v>
      </c>
      <c r="K60" s="67">
        <f>IR60*G60+IS60*G60</f>
        <v>0</v>
      </c>
      <c r="L60" s="67">
        <f>'Stavební rozpočet'!L60</f>
        <v>0.51472</v>
      </c>
      <c r="M60" s="5">
        <f>L60*G60</f>
        <v>0.51472</v>
      </c>
      <c r="HV60" s="4" t="s">
        <v>278</v>
      </c>
      <c r="HW60" s="4" t="s">
        <v>127</v>
      </c>
      <c r="IR60" s="31">
        <f>H60*0.977959245984336</f>
        <v>0</v>
      </c>
      <c r="IS60" s="31">
        <f>H60*(1-0.977959245984336)</f>
        <v>0</v>
      </c>
    </row>
    <row r="61" spans="1:13" ht="27" customHeight="1">
      <c r="A61" s="25"/>
      <c r="C61" s="76" t="s">
        <v>194</v>
      </c>
      <c r="M61" s="62"/>
    </row>
    <row r="62" spans="1:253" ht="15" customHeight="1">
      <c r="A62" s="82">
        <v>36</v>
      </c>
      <c r="B62" s="4" t="s">
        <v>121</v>
      </c>
      <c r="C62" s="76" t="s">
        <v>275</v>
      </c>
      <c r="D62" s="4" t="s">
        <v>65</v>
      </c>
      <c r="E62" s="47">
        <v>21</v>
      </c>
      <c r="F62" s="83" t="s">
        <v>301</v>
      </c>
      <c r="G62" s="67">
        <f>'Stavební rozpočet'!G62</f>
        <v>1</v>
      </c>
      <c r="H62" s="67">
        <f>'Stavební rozpočet'!H62</f>
        <v>0</v>
      </c>
      <c r="I62" s="67">
        <f>IR62*G62</f>
        <v>0</v>
      </c>
      <c r="J62" s="67">
        <f>IS62*G62</f>
        <v>0</v>
      </c>
      <c r="K62" s="67">
        <f>IR62*G62+IS62*G62</f>
        <v>0</v>
      </c>
      <c r="L62" s="67">
        <f>'Stavební rozpočet'!L62</f>
        <v>0.51472</v>
      </c>
      <c r="M62" s="5">
        <f>L62*G62</f>
        <v>0.51472</v>
      </c>
      <c r="HV62" s="4" t="s">
        <v>278</v>
      </c>
      <c r="HW62" s="4" t="s">
        <v>127</v>
      </c>
      <c r="IR62" s="31">
        <f>H62*0.977959245984336</f>
        <v>0</v>
      </c>
      <c r="IS62" s="31">
        <f>H62*(1-0.977959245984336)</f>
        <v>0</v>
      </c>
    </row>
    <row r="63" spans="1:13" ht="27" customHeight="1">
      <c r="A63" s="25"/>
      <c r="C63" s="76" t="s">
        <v>70</v>
      </c>
      <c r="M63" s="62"/>
    </row>
    <row r="64" spans="1:253" ht="15" customHeight="1">
      <c r="A64" s="18">
        <v>37</v>
      </c>
      <c r="B64" s="9" t="s">
        <v>261</v>
      </c>
      <c r="C64" s="32" t="s">
        <v>199</v>
      </c>
      <c r="D64" s="9" t="s">
        <v>119</v>
      </c>
      <c r="E64" s="72">
        <v>21</v>
      </c>
      <c r="F64" s="9" t="s">
        <v>171</v>
      </c>
      <c r="G64" s="68">
        <f>'Stavební rozpočet'!G64</f>
        <v>1.17536</v>
      </c>
      <c r="H64" s="68">
        <f>'Stavební rozpočet'!H64</f>
        <v>0</v>
      </c>
      <c r="I64" s="68">
        <f>IR64*G64</f>
        <v>0</v>
      </c>
      <c r="J64" s="68">
        <f>IS64*G64</f>
        <v>0</v>
      </c>
      <c r="K64" s="68">
        <f>IR64*G64+IS64*G64</f>
        <v>0</v>
      </c>
      <c r="L64" s="68">
        <f>'Stavební rozpočet'!L64</f>
        <v>0</v>
      </c>
      <c r="M64" s="11">
        <f>L64*G64</f>
        <v>0</v>
      </c>
      <c r="HV64" s="4" t="s">
        <v>278</v>
      </c>
      <c r="HW64" s="4" t="s">
        <v>127</v>
      </c>
      <c r="IR64" s="31">
        <f>H64*0</f>
        <v>0</v>
      </c>
      <c r="IS64" s="31">
        <f>H64*(1-0)</f>
        <v>0</v>
      </c>
    </row>
    <row r="66" spans="10:11" ht="15" customHeight="1">
      <c r="J66" s="33" t="s">
        <v>200</v>
      </c>
      <c r="K66" s="8">
        <f>K11+K18+K23+K30+K32+K43+K49+K54+K57</f>
        <v>0</v>
      </c>
    </row>
  </sheetData>
  <sheetProtection password="E9AE" sheet="1"/>
  <mergeCells count="26">
    <mergeCell ref="A27:E27"/>
    <mergeCell ref="F2:F3"/>
    <mergeCell ref="F4:F5"/>
    <mergeCell ref="F6:F7"/>
    <mergeCell ref="F8:F9"/>
    <mergeCell ref="G2:M3"/>
    <mergeCell ref="G4:M5"/>
    <mergeCell ref="G6:M7"/>
    <mergeCell ref="G8:M9"/>
    <mergeCell ref="D4:D5"/>
    <mergeCell ref="D6:D7"/>
    <mergeCell ref="D8:D9"/>
    <mergeCell ref="E2:E3"/>
    <mergeCell ref="E4:E5"/>
    <mergeCell ref="E6:E7"/>
    <mergeCell ref="E8:E9"/>
    <mergeCell ref="A1:M1"/>
    <mergeCell ref="A2:B3"/>
    <mergeCell ref="A4:B5"/>
    <mergeCell ref="A6:B7"/>
    <mergeCell ref="A8:B9"/>
    <mergeCell ref="C2:C3"/>
    <mergeCell ref="C4:C5"/>
    <mergeCell ref="C6:C7"/>
    <mergeCell ref="C8:C9"/>
    <mergeCell ref="D2:D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David</cp:lastModifiedBy>
  <dcterms:created xsi:type="dcterms:W3CDTF">2021-06-10T20:06:38Z</dcterms:created>
  <dcterms:modified xsi:type="dcterms:W3CDTF">2023-02-14T08:05:15Z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