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270" tabRatio="500" activeTab="0"/>
  </bookViews>
  <sheets>
    <sheet name="Krycí list rozpočtu" sheetId="1" r:id="rId1"/>
    <sheet name="Stavební rozpočet - součet" sheetId="2" r:id="rId2"/>
    <sheet name="VORN" sheetId="3" r:id="rId3"/>
    <sheet name="Stavební rozpočet" sheetId="4" r:id="rId4"/>
  </sheets>
  <definedNames>
    <definedName name="vorn_sum">'VORN'!$I$36:$I$36</definedName>
  </definedNames>
  <calcPr fullCalcOnLoad="1"/>
</workbook>
</file>

<file path=xl/sharedStrings.xml><?xml version="1.0" encoding="utf-8"?>
<sst xmlns="http://schemas.openxmlformats.org/spreadsheetml/2006/main" count="1243" uniqueCount="451">
  <si>
    <t>Krycí list slepého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</si>
  <si>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</si>
  <si>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</si>
  <si>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</si>
  <si>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</si>
  <si>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</si>
  <si>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</si>
  <si>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</si>
  <si>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</si>
  <si>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</si>
  <si>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</si>
  <si>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110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</si>
  <si>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</si>
  <si>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</si>
  <si>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</si>
  <si>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</si>
  <si>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</si>
  <si>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</si>
  <si>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</si>
  <si>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</si>
  <si>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</si>
  <si>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</si>
  <si>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</si>
  <si>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</si>
  <si>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</si>
  <si>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</si>
  <si>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</si>
  <si>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</si>
  <si>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</si>
  <si>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</si>
  <si>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</si>
  <si>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</si>
  <si>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</si>
  <si>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</si>
  <si>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</si>
  <si>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</si>
  <si>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</si>
  <si>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</si>
  <si>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</si>
  <si>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</si>
  <si>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</si>
  <si>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DN celkem z obj.</t>
  </si>
  <si>
    <t>NUS celkem z obj.</t>
  </si>
  <si>
    <t>ORN celkem</t>
  </si>
  <si>
    <t>ORN celkem z obj.</t>
  </si>
  <si>
    <t>Základ 0%</t>
  </si>
  <si>
    <t>Základ 15%</t>
  </si>
  <si>
    <t>DPH 15%</t>
  </si>
  <si>
    <t>Celkem bez DPH</t>
  </si>
  <si>
    <t>Základ 21%</t>
  </si>
  <si>
    <t>DPH 21%</t>
  </si>
  <si>
    <t>Celkem včetně DPH</t>
  </si>
  <si>
    <t>Projektant</t>
  </si>
  <si>
    <t>Objednatel</t>
  </si>
  <si>
    <t>Zhotovitel</t>
  </si>
  <si>
    <t>Datum, razítko a podpis</t>
  </si>
  <si>
    <t>Poznámka:</t>
  </si>
  <si>
    <t>Přirážka za provozní vlivy je volena s ohledem na logisticky náročnou demontáž a montáž rozvodů v instalačních šachtách za provozu, kdy je třeba zajistit vzájemnou koordinaci všech zúčastněných s minimálními prostoji při realizaci.</t>
  </si>
  <si>
    <t>Slepý stavební rozpočet - rekapitulace</t>
  </si>
  <si>
    <t>Zpracováno dne:</t>
  </si>
  <si>
    <t>Objekt</t>
  </si>
  <si>
    <t>Kód</t>
  </si>
  <si>
    <t>Zkrácený popis</t>
  </si>
  <si>
    <t>Náklady (Kč) - dodávka</t>
  </si>
  <si>
    <t>Náklady (Kč) - Montáž</t>
  </si>
  <si>
    <t>Náklady (Kč) - celkem</t>
  </si>
  <si>
    <t>721</t>
  </si>
  <si>
    <t>Vnitřní kanalizace</t>
  </si>
  <si>
    <t>T</t>
  </si>
  <si>
    <t>722</t>
  </si>
  <si>
    <t>Vnitřní vodovod - ležaté rozvody v suterénu</t>
  </si>
  <si>
    <t>723</t>
  </si>
  <si>
    <t>Vnitřní plynovod</t>
  </si>
  <si>
    <t>724</t>
  </si>
  <si>
    <t>Vnitřní vodovod-stoupačky</t>
  </si>
  <si>
    <t>725</t>
  </si>
  <si>
    <t>Vnitřní vodovod - byty</t>
  </si>
  <si>
    <t>96</t>
  </si>
  <si>
    <t>Stavební práce  - stoupačky</t>
  </si>
  <si>
    <t>97</t>
  </si>
  <si>
    <t>Stavební práce - koupelny 31 bytů</t>
  </si>
  <si>
    <t>S</t>
  </si>
  <si>
    <t>Přesuny sutí</t>
  </si>
  <si>
    <t>Celkem:</t>
  </si>
  <si>
    <t>Vedlejší a ostatní rozpočtové náklady</t>
  </si>
  <si>
    <t>Vedlejší rozpočtové náklady VRN</t>
  </si>
  <si>
    <t>Doplňkové náklady DN</t>
  </si>
  <si>
    <t>Kč</t>
  </si>
  <si>
    <t>%</t>
  </si>
  <si>
    <t>Základna</t>
  </si>
  <si>
    <t>Celkem DN</t>
  </si>
  <si>
    <t>Celkem NUS</t>
  </si>
  <si>
    <t>Celkem VRN</t>
  </si>
  <si>
    <t>Ostatní rozpočtové náklady ORN</t>
  </si>
  <si>
    <t>Ostatní rozpočtové náklady (ORN)</t>
  </si>
  <si>
    <t>Celkem ORN</t>
  </si>
  <si>
    <t>Slepý stavební rozpočet</t>
  </si>
  <si>
    <t>Výměna rozvodů vody a kanalizace</t>
  </si>
  <si>
    <t>Doba výstavby:</t>
  </si>
  <si>
    <t xml:space="preserve"> </t>
  </si>
  <si>
    <t>Statutární město Karviná, Fryštátská 72/1, Karviná</t>
  </si>
  <si>
    <t>Budovatelů 1416-1421</t>
  </si>
  <si>
    <t>Karviná-Nové Město</t>
  </si>
  <si>
    <t> </t>
  </si>
  <si>
    <t>21.07.2022</t>
  </si>
  <si>
    <t>Č</t>
  </si>
  <si>
    <t>MJ</t>
  </si>
  <si>
    <t>Množství</t>
  </si>
  <si>
    <t>Cena/MJ</t>
  </si>
  <si>
    <t>Náklady (Kč)</t>
  </si>
  <si>
    <t>ISWORK</t>
  </si>
  <si>
    <t>GROUPCODE</t>
  </si>
  <si>
    <t>Rozměry</t>
  </si>
  <si>
    <t>(Kč)</t>
  </si>
  <si>
    <t>Dodávka</t>
  </si>
  <si>
    <t>Celkem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</si>
  <si>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</si>
  <si>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</si>
  <si>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</si>
  <si>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</si>
  <si>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</si>
  <si>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</si>
  <si>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</si>
  <si>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</si>
  <si>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</si>
  <si>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MAT</t>
  </si>
  <si>
    <t>WORK</t>
  </si>
  <si>
    <t>CELK</t>
  </si>
  <si>
    <t>1</t>
  </si>
  <si>
    <t>721140802R00</t>
  </si>
  <si>
    <t>Demontáž potrubí litinového DN 100</t>
  </si>
  <si>
    <t>m</t>
  </si>
  <si>
    <t>7</t>
  </si>
  <si>
    <t>721_</t>
  </si>
  <si>
    <t>72_</t>
  </si>
  <si>
    <t>_</t>
  </si>
  <si>
    <t>P</t>
  </si>
  <si>
    <t>2</t>
  </si>
  <si>
    <t>721140935R00</t>
  </si>
  <si>
    <t>Oprava - přechod z plastových trub na litinu, trubka DN100</t>
  </si>
  <si>
    <t>kus</t>
  </si>
  <si>
    <t>3</t>
  </si>
  <si>
    <t>Oprava - přechod z plastových trub na litinu , hrdlo DN100</t>
  </si>
  <si>
    <t>4</t>
  </si>
  <si>
    <t>721171219R00</t>
  </si>
  <si>
    <t>Trubka pro připojení WC, flexibilní, D110, 280-650mm</t>
  </si>
  <si>
    <t>5</t>
  </si>
  <si>
    <t>721176104R00</t>
  </si>
  <si>
    <t>Potrubí HT připojovací D 75 x 1,9 mm</t>
  </si>
  <si>
    <t>6</t>
  </si>
  <si>
    <t>721176105R00</t>
  </si>
  <si>
    <t>Potrubí HT připojovací D 110 x 2,7 mm</t>
  </si>
  <si>
    <t>721176115R00</t>
  </si>
  <si>
    <t>Potrubí HT odpadní svislé D 110 x 2,7 mm</t>
  </si>
  <si>
    <t>8</t>
  </si>
  <si>
    <t>721194107R00</t>
  </si>
  <si>
    <t>Vyvedení odpadních výpustek D 75 x 1,9</t>
  </si>
  <si>
    <t>9</t>
  </si>
  <si>
    <t>721194109R00</t>
  </si>
  <si>
    <t>Vyvedení odpadních výpustek D 110 x 2,3</t>
  </si>
  <si>
    <t>10</t>
  </si>
  <si>
    <t>28615443.A</t>
  </si>
  <si>
    <t>Kus čisticí HTRE D 110 mm PP</t>
  </si>
  <si>
    <t>M</t>
  </si>
  <si>
    <t>11</t>
  </si>
  <si>
    <t>28615372.A</t>
  </si>
  <si>
    <t>Odbočka HTEA D 110/ 110 mm 87,5° PP</t>
  </si>
  <si>
    <t>12</t>
  </si>
  <si>
    <t>28615365.A</t>
  </si>
  <si>
    <t>Odbočka HTEA D 110/ 75 mm 45° PP</t>
  </si>
  <si>
    <t>13</t>
  </si>
  <si>
    <t>28650024</t>
  </si>
  <si>
    <t>Manžeta protipožární Intumex RS 10  110-30 mm - stoupačky v 1.pp</t>
  </si>
  <si>
    <t>14</t>
  </si>
  <si>
    <t>Manžeta protipožární Intumex RS 10  110-30 mm - napojení WC v bytě</t>
  </si>
  <si>
    <t>15</t>
  </si>
  <si>
    <t>721273200R00</t>
  </si>
  <si>
    <t>Souprava ventilační střešní HL</t>
  </si>
  <si>
    <t>16</t>
  </si>
  <si>
    <t>721100912R00</t>
  </si>
  <si>
    <t>Oprava - utěsnění prostupu střechou ventilační hlavice tmelem</t>
  </si>
  <si>
    <t>17</t>
  </si>
  <si>
    <t>721290111R00</t>
  </si>
  <si>
    <t>Zkouška těsnosti kanalizace vodou do DN 125</t>
  </si>
  <si>
    <t>18</t>
  </si>
  <si>
    <t>721290822R00</t>
  </si>
  <si>
    <t>Přesun vybouraných hmot - kanalizace, H 6 - 12 m</t>
  </si>
  <si>
    <t>t</t>
  </si>
  <si>
    <t>19</t>
  </si>
  <si>
    <t>722130802R00</t>
  </si>
  <si>
    <t>Demontáž potrubí ocelových závitových DN 40</t>
  </si>
  <si>
    <t>722_</t>
  </si>
  <si>
    <t>20</t>
  </si>
  <si>
    <t>722170804R00</t>
  </si>
  <si>
    <t>Demontáž rozvodů vody z plastů do D 63</t>
  </si>
  <si>
    <t>21</t>
  </si>
  <si>
    <t>722170924R00</t>
  </si>
  <si>
    <t>Oprava potrubí z PE, spojka přímá,vně.závit 32x1</t>
  </si>
  <si>
    <t>22</t>
  </si>
  <si>
    <t>722170925R00</t>
  </si>
  <si>
    <t>Oprava potrubí z PE, spojka přímá,vně.závit 40x1</t>
  </si>
  <si>
    <t>23</t>
  </si>
  <si>
    <t>722170926R00</t>
  </si>
  <si>
    <t>Oprava potrubí z PE, spojka přímá,vně.závit 40x5/4</t>
  </si>
  <si>
    <t>24</t>
  </si>
  <si>
    <t>722172912R00</t>
  </si>
  <si>
    <t>Propojení plastového potrubí polyf.D 20 mm,vodovod</t>
  </si>
  <si>
    <t>25</t>
  </si>
  <si>
    <t>722172914R00</t>
  </si>
  <si>
    <t>Propojení plastového potrubí polyf.D 32 mm,vodovod</t>
  </si>
  <si>
    <t>26</t>
  </si>
  <si>
    <t>722172966R00</t>
  </si>
  <si>
    <t>Vsaz.kohoutu do plast.potrubí polyf.D 50 mm, vodovod</t>
  </si>
  <si>
    <t>27</t>
  </si>
  <si>
    <t>722172967R00</t>
  </si>
  <si>
    <t>Vsaz.kohoutu do plast.potrubí polyf.D 63 mm, vodovod</t>
  </si>
  <si>
    <t>28</t>
  </si>
  <si>
    <t>722178713R00</t>
  </si>
  <si>
    <t>Potrubí PP-RCT Hot, PN20,D 32x4,4 mm</t>
  </si>
  <si>
    <t>29</t>
  </si>
  <si>
    <t>722178714R00</t>
  </si>
  <si>
    <t>Potrubí PP-RCT Hot, PN20,D 40x5,5 mm</t>
  </si>
  <si>
    <t>30</t>
  </si>
  <si>
    <t>722181212RU1</t>
  </si>
  <si>
    <t>Izolace návleková d32mm MIRELON PRO tl. stěny 9 mm</t>
  </si>
  <si>
    <t>31</t>
  </si>
  <si>
    <t>722181212RV9</t>
  </si>
  <si>
    <t>Izolace návleková d40mm MIRELON PRO tl. stěny 9 mm</t>
  </si>
  <si>
    <t>32</t>
  </si>
  <si>
    <t>722202416R00</t>
  </si>
  <si>
    <t>Kohout kulový nerozebíratelný PP-R INSTAPLAST D 50</t>
  </si>
  <si>
    <t>33</t>
  </si>
  <si>
    <t>722202417R00</t>
  </si>
  <si>
    <t>Kohout kulový nerozebíratelný PP-R INSTAPLAST D 63</t>
  </si>
  <si>
    <t>34</t>
  </si>
  <si>
    <t>722237223R00</t>
  </si>
  <si>
    <t>Kohout vod.kul.,2xvnitřní záv.GIACOMINI R910 DN 25</t>
  </si>
  <si>
    <t>35</t>
  </si>
  <si>
    <t>722237224R00</t>
  </si>
  <si>
    <t>Kohout vod.kul.,2xvnitřní záv.GIACOMINI R910 DN 32</t>
  </si>
  <si>
    <t>36</t>
  </si>
  <si>
    <t>722237663R00</t>
  </si>
  <si>
    <t>Klapka zpětná,2xvnitř.závit GIACOMINI N5 DN 25,vod</t>
  </si>
  <si>
    <t>37</t>
  </si>
  <si>
    <t>722224111R00</t>
  </si>
  <si>
    <t>Kohouty plnicí a vypouštěcí DN 15</t>
  </si>
  <si>
    <t>38</t>
  </si>
  <si>
    <t>423916623</t>
  </si>
  <si>
    <t>Žlab pro plast. potrubí PPR 32mm, L 2m</t>
  </si>
  <si>
    <t>39</t>
  </si>
  <si>
    <t>423916624</t>
  </si>
  <si>
    <t>Žlab pro plast. potrubí PPR 40mm, L 2m</t>
  </si>
  <si>
    <t>40</t>
  </si>
  <si>
    <t>722280106R00</t>
  </si>
  <si>
    <t>Tlaková zkouška vodovodního potrubí DN 32</t>
  </si>
  <si>
    <t>41</t>
  </si>
  <si>
    <t>722280107R00</t>
  </si>
  <si>
    <t>Tlaková zkouška vodovodního potrubí DN 40</t>
  </si>
  <si>
    <t>42</t>
  </si>
  <si>
    <t>722290234R00</t>
  </si>
  <si>
    <t>Proplach a dezinfekce vodovod.potrubí DN 80</t>
  </si>
  <si>
    <t>43</t>
  </si>
  <si>
    <t>722290821R00</t>
  </si>
  <si>
    <t>Přesun vybouraných hmot - vodovody, H do 6 m</t>
  </si>
  <si>
    <t>44</t>
  </si>
  <si>
    <t>723120805R00</t>
  </si>
  <si>
    <t>Demontáž potrubí plynovodního závitového DN 25-50</t>
  </si>
  <si>
    <t>723_</t>
  </si>
  <si>
    <t>45</t>
  </si>
  <si>
    <t>722170801R00</t>
  </si>
  <si>
    <t>Demontáž rozvodů vody z plastů do D 32</t>
  </si>
  <si>
    <t>724_</t>
  </si>
  <si>
    <t>46</t>
  </si>
  <si>
    <t>722178711R00</t>
  </si>
  <si>
    <t>Potrubí PP-RCT Hot, PN20,D 20x2,8 mm</t>
  </si>
  <si>
    <t>47</t>
  </si>
  <si>
    <t>722178712R00</t>
  </si>
  <si>
    <t>Potrubí PP-RCT Hot, PN20,D 25x3,5 mm</t>
  </si>
  <si>
    <t>48</t>
  </si>
  <si>
    <t>49</t>
  </si>
  <si>
    <t>722181211RT7</t>
  </si>
  <si>
    <t>Izolace návleková d20mm MIRELON PRO tl. stěny 6 mm</t>
  </si>
  <si>
    <t>50</t>
  </si>
  <si>
    <t>722181211RT8</t>
  </si>
  <si>
    <t>Izolace návleková d25mm MIRELON PRO tl. stěny 6 mm</t>
  </si>
  <si>
    <t>51</t>
  </si>
  <si>
    <t>722181211RU1</t>
  </si>
  <si>
    <t>Izolace návleková d32mm MIRELON PRO tl. stěny 6 mm</t>
  </si>
  <si>
    <t>52</t>
  </si>
  <si>
    <t>722181214RT7</t>
  </si>
  <si>
    <t>Izolace návleková d22mm MIRELON PRO tl. stěny 20 mm</t>
  </si>
  <si>
    <t>53</t>
  </si>
  <si>
    <t>722181214RT8</t>
  </si>
  <si>
    <t>Izolace návleková d25mm MIRELON PRO tl. stěny 20 mm</t>
  </si>
  <si>
    <t>54</t>
  </si>
  <si>
    <t>722181215RU1</t>
  </si>
  <si>
    <t>Izolace návleková d32mm MIRELON PRO tl. stěny 25 mm</t>
  </si>
  <si>
    <t>55</t>
  </si>
  <si>
    <t>722202412R00</t>
  </si>
  <si>
    <t>Kohout kulový nerozebíratelný PP-R INSTAPLAST D 20</t>
  </si>
  <si>
    <t>56</t>
  </si>
  <si>
    <t>722172361R00</t>
  </si>
  <si>
    <t>Smyčka kompenzační z PPR, D 20 x 2,8 mm, PN 20</t>
  </si>
  <si>
    <t>57</t>
  </si>
  <si>
    <t>722172362R00</t>
  </si>
  <si>
    <t>Smyčka kompenzační z PPR, D 25 x 3,5 mm, PN 20</t>
  </si>
  <si>
    <t>58</t>
  </si>
  <si>
    <t>722006VD</t>
  </si>
  <si>
    <t>Prostup potrubí stropem - chránička+izolace MV</t>
  </si>
  <si>
    <t>ks</t>
  </si>
  <si>
    <t>59</t>
  </si>
  <si>
    <t>Prostup potrubí stropem 1.PP - protipožární izolace</t>
  </si>
  <si>
    <t>60</t>
  </si>
  <si>
    <t>Tlaková zkouška vodovodního potrubí do DN 32</t>
  </si>
  <si>
    <t>61</t>
  </si>
  <si>
    <t>Proplach a dezinfekce vodovod.potrubí do DN 80</t>
  </si>
  <si>
    <t>62</t>
  </si>
  <si>
    <t>722290822R00</t>
  </si>
  <si>
    <t>Přesun vybouraných hmot - vodovody, H 6 - 12 m</t>
  </si>
  <si>
    <t>63</t>
  </si>
  <si>
    <t>722130801R00</t>
  </si>
  <si>
    <t>Demontáž potrubí ocelových závitových DN 25</t>
  </si>
  <si>
    <t>725_</t>
  </si>
  <si>
    <t>64</t>
  </si>
  <si>
    <t>722130831R00</t>
  </si>
  <si>
    <t>Demontáž nástěnky</t>
  </si>
  <si>
    <t>65</t>
  </si>
  <si>
    <t>725810811R00</t>
  </si>
  <si>
    <t>Demontáž ventilu výtokového nástěnného</t>
  </si>
  <si>
    <t>66</t>
  </si>
  <si>
    <t>725820801R00</t>
  </si>
  <si>
    <t>Demontáž baterie nástěnné do G 3/4</t>
  </si>
  <si>
    <t>soubor</t>
  </si>
  <si>
    <t>67</t>
  </si>
  <si>
    <t>68</t>
  </si>
  <si>
    <t>69</t>
  </si>
  <si>
    <t>722190401R00</t>
  </si>
  <si>
    <t>Vyvedení a upevnění výpustek DN 15</t>
  </si>
  <si>
    <t>70</t>
  </si>
  <si>
    <t>71</t>
  </si>
  <si>
    <t>72</t>
  </si>
  <si>
    <t>722260811R00</t>
  </si>
  <si>
    <t>Demontáž vodoměrů závitových G 1/2</t>
  </si>
  <si>
    <t>73</t>
  </si>
  <si>
    <t>722269111R00</t>
  </si>
  <si>
    <t>Montáž vodoměru závitového jdnovt. suchob. vč.šroubení a plomby G1/2"</t>
  </si>
  <si>
    <t>74</t>
  </si>
  <si>
    <t>722220111R00</t>
  </si>
  <si>
    <t>Nástěnka K 247, pro výtokový ventil G 1/2</t>
  </si>
  <si>
    <t>75</t>
  </si>
  <si>
    <t>722220121R00</t>
  </si>
  <si>
    <t>Nástěnka K 247, pro baterii G 1/2</t>
  </si>
  <si>
    <t>pár</t>
  </si>
  <si>
    <t>76</t>
  </si>
  <si>
    <t>725110814R00</t>
  </si>
  <si>
    <t>Demontáž klozetů kombinovaných</t>
  </si>
  <si>
    <t>77</t>
  </si>
  <si>
    <t>725114912R00</t>
  </si>
  <si>
    <t>Zpětná montáž klozetové mísy a sedátka</t>
  </si>
  <si>
    <t>78</t>
  </si>
  <si>
    <t>725210821R00</t>
  </si>
  <si>
    <t>Demontáž umyvadel bez výtokových armatur</t>
  </si>
  <si>
    <t>79</t>
  </si>
  <si>
    <t>725210914R00</t>
  </si>
  <si>
    <t>Zpětná montáž umyvadla bez výtok.armatur</t>
  </si>
  <si>
    <t>80</t>
  </si>
  <si>
    <t>725800911R00</t>
  </si>
  <si>
    <t>Zpětná montáž ventilu nástěnného</t>
  </si>
  <si>
    <t>81</t>
  </si>
  <si>
    <t>725800924R00</t>
  </si>
  <si>
    <t>Zpětná montáž baterie nástěnné</t>
  </si>
  <si>
    <t>82</t>
  </si>
  <si>
    <t>725013161R00</t>
  </si>
  <si>
    <t>Klozet kombi LYRA Plus, nádrž s armat. odpad šikmý, vč.duroplast.sedátka</t>
  </si>
  <si>
    <t>83</t>
  </si>
  <si>
    <t>725814105R00</t>
  </si>
  <si>
    <t>Ventil rohový s filtrem k WC DN 15 x DN 10</t>
  </si>
  <si>
    <t>84</t>
  </si>
  <si>
    <t>85</t>
  </si>
  <si>
    <t>962200011RAA</t>
  </si>
  <si>
    <t>Bourání příček z cihel pálených</t>
  </si>
  <si>
    <t>m2</t>
  </si>
  <si>
    <t>96_</t>
  </si>
  <si>
    <t>9_</t>
  </si>
  <si>
    <t>86</t>
  </si>
  <si>
    <t>962200051RA0</t>
  </si>
  <si>
    <t>Bourání příček sádrových nebo sádrokart. bez konst</t>
  </si>
  <si>
    <t>87</t>
  </si>
  <si>
    <t>342270042RA0</t>
  </si>
  <si>
    <t>Příčka z desek Ytong hladkých, tloušťka 10 cm</t>
  </si>
  <si>
    <t>88</t>
  </si>
  <si>
    <t>342280110RA0</t>
  </si>
  <si>
    <t>Obklad stěn z desek sádrokartonových, na rošt</t>
  </si>
  <si>
    <t>89</t>
  </si>
  <si>
    <t>622323041R00</t>
  </si>
  <si>
    <t>Penetrace podkladu HC-4</t>
  </si>
  <si>
    <t>90</t>
  </si>
  <si>
    <t>612472181R00</t>
  </si>
  <si>
    <t>Omítka stěn, jádro míchané, štuk ze suché směsi</t>
  </si>
  <si>
    <t>91</t>
  </si>
  <si>
    <t>784422271R00</t>
  </si>
  <si>
    <t>Malba vápenná 2x, pačok 2x,1barva, místn. do 3,8 m</t>
  </si>
  <si>
    <t>92</t>
  </si>
  <si>
    <t>726IP006VD</t>
  </si>
  <si>
    <t>Protipožární dvířka jednokřídlá Promat SP 50x50cm EI45</t>
  </si>
  <si>
    <t>93</t>
  </si>
  <si>
    <t>952902110R00</t>
  </si>
  <si>
    <t>Čištění zametáním v místnostech a chodbách</t>
  </si>
  <si>
    <t>94</t>
  </si>
  <si>
    <t>210220452RT2</t>
  </si>
  <si>
    <t>Ochranné spoj. , uzemnění Cu4-16 mm2 pevně</t>
  </si>
  <si>
    <t>95</t>
  </si>
  <si>
    <t>979100014RAE</t>
  </si>
  <si>
    <t>Odvoz suti a vyb.hmot do 15 km, vnitrost. 25 m</t>
  </si>
  <si>
    <t>978500010RA0</t>
  </si>
  <si>
    <t>Odsekání vnitřních obkladů</t>
  </si>
  <si>
    <t>97_</t>
  </si>
  <si>
    <t>98</t>
  </si>
  <si>
    <t>612403386R00</t>
  </si>
  <si>
    <t>Hrubá výplň rýh ve stěnách do 10x10cm maltou z SMS</t>
  </si>
  <si>
    <t>99</t>
  </si>
  <si>
    <t>781101210R00</t>
  </si>
  <si>
    <t>Penetrace podkladu pod obklady</t>
  </si>
  <si>
    <t>100</t>
  </si>
  <si>
    <t>781475112R00</t>
  </si>
  <si>
    <t>Obklad vnitřní stěn keramický, do tmele, 15x15 cm</t>
  </si>
  <si>
    <t>101</t>
  </si>
  <si>
    <t>781479701R00</t>
  </si>
  <si>
    <t>Přípl.za práci v omez.prostoru,vnitř.obkl.keram.</t>
  </si>
  <si>
    <t>102</t>
  </si>
  <si>
    <t>781479704R00</t>
  </si>
  <si>
    <t>Příplatek k obkladu stěn keram.spár.bílým cementem</t>
  </si>
  <si>
    <t>103</t>
  </si>
  <si>
    <t>781479711R00</t>
  </si>
  <si>
    <t>Příplatek k obkladu stěn keram.,za plochu do 10 m2</t>
  </si>
  <si>
    <t>104</t>
  </si>
  <si>
    <t>105</t>
  </si>
  <si>
    <t>Ochranné spoj. v prádel.,koupel.,Cu4-16 mm2 pevně</t>
  </si>
  <si>
    <t>106</t>
  </si>
  <si>
    <t>107</t>
  </si>
  <si>
    <t>979990106R00</t>
  </si>
  <si>
    <t>Poplatek za skládku suti-cihel.výrobky nad 30x30cm</t>
  </si>
  <si>
    <t>S_</t>
  </si>
  <si>
    <t>108</t>
  </si>
  <si>
    <t>979990191R00</t>
  </si>
  <si>
    <t>Poplatek za skládku suti - plastové výrobky</t>
  </si>
  <si>
    <t>109</t>
  </si>
  <si>
    <t>979990110R00</t>
  </si>
  <si>
    <t>Poplatek za skládku suti - sádrokartonové desky</t>
  </si>
  <si>
    <t>979990111R00</t>
  </si>
  <si>
    <t>Poplatek za skládku suti - stavební keramika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</si>
</sst>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4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i/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5" fillId="33" borderId="12" xfId="0" applyNumberFormat="1" applyFont="1" applyFill="1" applyBorder="1" applyAlignment="1" applyProtection="1">
      <alignment horizontal="center" vertical="center"/>
      <protection/>
    </xf>
    <xf numFmtId="49" fontId="7" fillId="0" borderId="13" xfId="0" applyNumberFormat="1" applyFont="1" applyFill="1" applyBorder="1" applyAlignment="1" applyProtection="1">
      <alignment horizontal="left" vertical="center"/>
      <protection/>
    </xf>
    <xf numFmtId="49" fontId="8" fillId="0" borderId="12" xfId="0" applyNumberFormat="1" applyFont="1" applyFill="1" applyBorder="1" applyAlignment="1" applyProtection="1">
      <alignment horizontal="left" vertical="center"/>
      <protection/>
    </xf>
    <xf numFmtId="4" fontId="8" fillId="0" borderId="12" xfId="0" applyNumberFormat="1" applyFont="1" applyFill="1" applyBorder="1" applyAlignment="1" applyProtection="1">
      <alignment horizontal="right" vertical="center"/>
      <protection/>
    </xf>
    <xf numFmtId="49" fontId="7" fillId="0" borderId="14" xfId="0" applyNumberFormat="1" applyFont="1" applyFill="1" applyBorder="1" applyAlignment="1" applyProtection="1">
      <alignment horizontal="left" vertical="center"/>
      <protection/>
    </xf>
    <xf numFmtId="49" fontId="8" fillId="0" borderId="12" xfId="0" applyNumberFormat="1" applyFont="1" applyFill="1" applyBorder="1" applyAlignment="1" applyProtection="1">
      <alignment horizontal="right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4" fontId="8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4" fontId="7" fillId="33" borderId="20" xfId="0" applyNumberFormat="1" applyFont="1" applyFill="1" applyBorder="1" applyAlignment="1" applyProtection="1">
      <alignment horizontal="right"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9" fontId="9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49" fontId="3" fillId="0" borderId="25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center" vertical="center"/>
      <protection/>
    </xf>
    <xf numFmtId="49" fontId="1" fillId="0" borderId="28" xfId="0" applyNumberFormat="1" applyFont="1" applyFill="1" applyBorder="1" applyAlignment="1" applyProtection="1">
      <alignment horizontal="left" vertical="center"/>
      <protection/>
    </xf>
    <xf numFmtId="49" fontId="1" fillId="0" borderId="24" xfId="0" applyNumberFormat="1" applyFont="1" applyFill="1" applyBorder="1" applyAlignment="1" applyProtection="1">
      <alignment horizontal="left" vertical="center"/>
      <protection/>
    </xf>
    <xf numFmtId="4" fontId="1" fillId="0" borderId="24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49" fontId="3" fillId="0" borderId="30" xfId="0" applyNumberFormat="1" applyFont="1" applyFill="1" applyBorder="1" applyAlignment="1" applyProtection="1">
      <alignment horizontal="righ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25" xfId="0" applyNumberFormat="1" applyFont="1" applyFill="1" applyBorder="1" applyAlignment="1" applyProtection="1">
      <alignment horizontal="right" vertical="center"/>
      <protection/>
    </xf>
    <xf numFmtId="4" fontId="3" fillId="0" borderId="25" xfId="0" applyNumberFormat="1" applyFont="1" applyFill="1" applyBorder="1" applyAlignment="1" applyProtection="1">
      <alignment horizontal="right"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49" fontId="3" fillId="0" borderId="32" xfId="0" applyNumberFormat="1" applyFont="1" applyFill="1" applyBorder="1" applyAlignment="1" applyProtection="1">
      <alignment horizontal="left" vertical="center"/>
      <protection/>
    </xf>
    <xf numFmtId="49" fontId="3" fillId="0" borderId="33" xfId="0" applyNumberFormat="1" applyFont="1" applyFill="1" applyBorder="1" applyAlignment="1" applyProtection="1">
      <alignment horizontal="left" vertical="center"/>
      <protection/>
    </xf>
    <xf numFmtId="49" fontId="3" fillId="0" borderId="33" xfId="0" applyNumberFormat="1" applyFont="1" applyFill="1" applyBorder="1" applyAlignment="1" applyProtection="1">
      <alignment horizontal="center" vertical="center"/>
      <protection/>
    </xf>
    <xf numFmtId="49" fontId="3" fillId="0" borderId="34" xfId="0" applyNumberFormat="1" applyFont="1" applyFill="1" applyBorder="1" applyAlignment="1" applyProtection="1">
      <alignment horizontal="center" vertical="center"/>
      <protection/>
    </xf>
    <xf numFmtId="49" fontId="3" fillId="0" borderId="35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36" xfId="0" applyNumberFormat="1" applyFont="1" applyFill="1" applyBorder="1" applyAlignment="1" applyProtection="1">
      <alignment horizontal="left" vertical="center"/>
      <protection/>
    </xf>
    <xf numFmtId="49" fontId="1" fillId="0" borderId="37" xfId="0" applyNumberFormat="1" applyFont="1" applyFill="1" applyBorder="1" applyAlignment="1" applyProtection="1">
      <alignment horizontal="left" vertical="center"/>
      <protection/>
    </xf>
    <xf numFmtId="49" fontId="3" fillId="0" borderId="38" xfId="0" applyNumberFormat="1" applyFont="1" applyFill="1" applyBorder="1" applyAlignment="1" applyProtection="1">
      <alignment horizontal="center" vertical="center"/>
      <protection/>
    </xf>
    <xf numFmtId="49" fontId="3" fillId="0" borderId="39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40" xfId="0" applyNumberFormat="1" applyFont="1" applyFill="1" applyBorder="1" applyAlignment="1" applyProtection="1">
      <alignment horizontal="center" vertical="center"/>
      <protection/>
    </xf>
    <xf numFmtId="49" fontId="3" fillId="0" borderId="41" xfId="0" applyNumberFormat="1" applyFont="1" applyFill="1" applyBorder="1" applyAlignment="1" applyProtection="1">
      <alignment horizontal="center" vertical="center"/>
      <protection/>
    </xf>
    <xf numFmtId="49" fontId="1" fillId="33" borderId="28" xfId="0" applyNumberFormat="1" applyFont="1" applyFill="1" applyBorder="1" applyAlignment="1" applyProtection="1">
      <alignment horizontal="left" vertical="center"/>
      <protection/>
    </xf>
    <xf numFmtId="49" fontId="3" fillId="33" borderId="24" xfId="0" applyNumberFormat="1" applyFont="1" applyFill="1" applyBorder="1" applyAlignment="1" applyProtection="1">
      <alignment horizontal="left" vertical="center"/>
      <protection/>
    </xf>
    <xf numFmtId="49" fontId="1" fillId="33" borderId="24" xfId="0" applyNumberFormat="1" applyFont="1" applyFill="1" applyBorder="1" applyAlignment="1" applyProtection="1">
      <alignment horizontal="left" vertical="center"/>
      <protection/>
    </xf>
    <xf numFmtId="4" fontId="3" fillId="33" borderId="24" xfId="0" applyNumberFormat="1" applyFont="1" applyFill="1" applyBorder="1" applyAlignment="1" applyProtection="1">
      <alignment horizontal="right" vertical="center"/>
      <protection/>
    </xf>
    <xf numFmtId="49" fontId="3" fillId="33" borderId="18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9" fontId="1" fillId="0" borderId="19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1" fillId="33" borderId="11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1" fillId="33" borderId="0" xfId="0" applyNumberFormat="1" applyFont="1" applyFill="1" applyBorder="1" applyAlignment="1" applyProtection="1">
      <alignment horizontal="left" vertical="center"/>
      <protection/>
    </xf>
    <xf numFmtId="49" fontId="3" fillId="33" borderId="19" xfId="0" applyNumberFormat="1" applyFont="1" applyFill="1" applyBorder="1" applyAlignment="1" applyProtection="1">
      <alignment horizontal="right" vertical="center"/>
      <protection/>
    </xf>
    <xf numFmtId="49" fontId="1" fillId="0" borderId="21" xfId="0" applyNumberFormat="1" applyFont="1" applyFill="1" applyBorder="1" applyAlignment="1" applyProtection="1">
      <alignment horizontal="left"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42" xfId="0" applyNumberFormat="1" applyFont="1" applyFill="1" applyBorder="1" applyAlignment="1" applyProtection="1">
      <alignment horizontal="right" vertical="center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8" fillId="0" borderId="43" xfId="0" applyNumberFormat="1" applyFont="1" applyFill="1" applyBorder="1" applyAlignment="1" applyProtection="1">
      <alignment horizontal="left" vertical="center"/>
      <protection/>
    </xf>
    <xf numFmtId="49" fontId="8" fillId="0" borderId="41" xfId="0" applyNumberFormat="1" applyFont="1" applyFill="1" applyBorder="1" applyAlignment="1" applyProtection="1">
      <alignment horizontal="left" vertical="center"/>
      <protection/>
    </xf>
    <xf numFmtId="49" fontId="7" fillId="33" borderId="44" xfId="0" applyNumberFormat="1" applyFont="1" applyFill="1" applyBorder="1" applyAlignment="1" applyProtection="1">
      <alignment horizontal="left" vertical="center"/>
      <protection/>
    </xf>
    <xf numFmtId="49" fontId="8" fillId="0" borderId="35" xfId="0" applyNumberFormat="1" applyFont="1" applyFill="1" applyBorder="1" applyAlignment="1" applyProtection="1">
      <alignment horizontal="left" vertical="center"/>
      <protection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49" fontId="8" fillId="0" borderId="12" xfId="0" applyNumberFormat="1" applyFont="1" applyFill="1" applyBorder="1" applyAlignment="1" applyProtection="1">
      <alignment horizontal="left" vertical="center"/>
      <protection/>
    </xf>
    <xf numFmtId="49" fontId="4" fillId="0" borderId="45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42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46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left" vertical="center"/>
      <protection/>
    </xf>
    <xf numFmtId="49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47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49" fontId="1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48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Fill="1" applyBorder="1" applyAlignment="1" applyProtection="1">
      <alignment horizontal="left" vertical="center" wrapText="1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49" fontId="3" fillId="0" borderId="25" xfId="0" applyNumberFormat="1" applyFont="1" applyFill="1" applyBorder="1" applyAlignment="1" applyProtection="1">
      <alignment horizontal="left" vertical="center"/>
      <protection/>
    </xf>
    <xf numFmtId="49" fontId="7" fillId="0" borderId="25" xfId="0" applyNumberFormat="1" applyFont="1" applyFill="1" applyBorder="1" applyAlignment="1" applyProtection="1">
      <alignment horizontal="left" vertical="center"/>
      <protection/>
    </xf>
    <xf numFmtId="4" fontId="7" fillId="0" borderId="25" xfId="0" applyNumberFormat="1" applyFont="1" applyFill="1" applyBorder="1" applyAlignment="1" applyProtection="1">
      <alignment horizontal="right" vertical="center"/>
      <protection/>
    </xf>
    <xf numFmtId="49" fontId="7" fillId="0" borderId="29" xfId="0" applyNumberFormat="1" applyFont="1" applyFill="1" applyBorder="1" applyAlignment="1" applyProtection="1">
      <alignment horizontal="left" vertical="center"/>
      <protection/>
    </xf>
    <xf numFmtId="49" fontId="3" fillId="0" borderId="30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33" xfId="0" applyNumberFormat="1" applyFont="1" applyFill="1" applyBorder="1" applyAlignment="1" applyProtection="1">
      <alignment horizontal="left" vertical="center"/>
      <protection/>
    </xf>
    <xf numFmtId="49" fontId="3" fillId="0" borderId="30" xfId="0" applyNumberFormat="1" applyFont="1" applyFill="1" applyBorder="1" applyAlignment="1" applyProtection="1">
      <alignment horizontal="center" vertical="center"/>
      <protection/>
    </xf>
    <xf numFmtId="49" fontId="3" fillId="0" borderId="37" xfId="0" applyNumberFormat="1" applyFont="1" applyFill="1" applyBorder="1" applyAlignment="1" applyProtection="1">
      <alignment horizontal="left" vertical="center"/>
      <protection/>
    </xf>
    <xf numFmtId="49" fontId="3" fillId="33" borderId="24" xfId="0" applyNumberFormat="1" applyFont="1" applyFill="1" applyBorder="1" applyAlignment="1" applyProtection="1">
      <alignment horizontal="left"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F4" sqref="F4:G5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45.75" customHeight="1">
      <c r="A1" s="1"/>
      <c r="B1" s="2"/>
      <c r="C1" s="89" t="s">
        <v>0</v>
      </c>
      <c r="D1" s="89"/>
      <c r="E1" s="89"/>
      <c r="F1" s="89"/>
      <c r="G1" s="89"/>
      <c r="H1" s="89"/>
      <c r="I1" s="89"/>
    </row>
    <row r="2" spans="1:10" ht="12.75" customHeight="1">
      <c r="A2" s="90" t="s">
        <v>1</v>
      </c>
      <c r="B2" s="90"/>
      <c r="C2" s="91" t="str">
        <f>'Stavební rozpočet'!C2</f>
        <v>Výměna rozvodů vody a kanalizace</v>
      </c>
      <c r="D2" s="91"/>
      <c r="E2" s="92" t="s">
        <v>2</v>
      </c>
      <c r="F2" s="92" t="str">
        <f>'Stavební rozpočet'!I2</f>
        <v>Statutární město Karviná, Fryštátská 72/1, Karviná</v>
      </c>
      <c r="G2" s="92"/>
      <c r="H2" s="92" t="s">
        <v>3</v>
      </c>
      <c r="I2" s="93"/>
      <c r="J2" s="3"/>
    </row>
    <row r="3" spans="1:10" ht="12.75">
      <c r="A3" s="90"/>
      <c r="B3" s="90"/>
      <c r="C3" s="91"/>
      <c r="D3" s="91"/>
      <c r="E3" s="92"/>
      <c r="F3" s="92"/>
      <c r="G3" s="92"/>
      <c r="H3" s="92"/>
      <c r="I3" s="93"/>
      <c r="J3" s="3"/>
    </row>
    <row r="4" spans="1:10" ht="12.75" customHeight="1">
      <c r="A4" s="86" t="s">
        <v>4</v>
      </c>
      <c r="B4" s="86"/>
      <c r="C4" s="73" t="str">
        <f>'Stavební rozpočet'!C4</f>
        <v>Budovatelů 1416-1421</v>
      </c>
      <c r="D4" s="73"/>
      <c r="E4" s="73" t="s">
        <v>5</v>
      </c>
      <c r="F4" s="73"/>
      <c r="G4" s="73"/>
      <c r="H4" s="73" t="s">
        <v>3</v>
      </c>
      <c r="I4" s="88"/>
      <c r="J4" s="3"/>
    </row>
    <row r="5" spans="1:10" ht="12.75">
      <c r="A5" s="86"/>
      <c r="B5" s="86"/>
      <c r="C5" s="73"/>
      <c r="D5" s="73"/>
      <c r="E5" s="73"/>
      <c r="F5" s="73"/>
      <c r="G5" s="73"/>
      <c r="H5" s="73"/>
      <c r="I5" s="88"/>
      <c r="J5" s="3"/>
    </row>
    <row r="6" spans="1:10" ht="12.75" customHeight="1">
      <c r="A6" s="86" t="s">
        <v>6</v>
      </c>
      <c r="B6" s="86"/>
      <c r="C6" s="73" t="str">
        <f>'Stavební rozpočet'!C6</f>
        <v>Karviná-Nové Město</v>
      </c>
      <c r="D6" s="73"/>
      <c r="E6" s="73" t="s">
        <v>7</v>
      </c>
      <c r="F6" s="73" t="str">
        <f>'Stavební rozpočet'!I6</f>
        <v> </v>
      </c>
      <c r="G6" s="73"/>
      <c r="H6" s="73" t="s">
        <v>3</v>
      </c>
      <c r="I6" s="88"/>
      <c r="J6" s="3"/>
    </row>
    <row r="7" spans="1:10" ht="12.75">
      <c r="A7" s="86"/>
      <c r="B7" s="86"/>
      <c r="C7" s="73"/>
      <c r="D7" s="73"/>
      <c r="E7" s="73"/>
      <c r="F7" s="73"/>
      <c r="G7" s="73"/>
      <c r="H7" s="73"/>
      <c r="I7" s="88"/>
      <c r="J7" s="3"/>
    </row>
    <row r="8" spans="1:10" ht="12.75" customHeight="1">
      <c r="A8" s="86" t="s">
        <v>8</v>
      </c>
      <c r="B8" s="86"/>
      <c r="C8" s="73" t="str">
        <f>'Stavební rozpočet'!F4</f>
        <v> </v>
      </c>
      <c r="D8" s="73"/>
      <c r="E8" s="73" t="s">
        <v>9</v>
      </c>
      <c r="F8" s="73" t="str">
        <f>'Stavební rozpočet'!F6</f>
        <v> </v>
      </c>
      <c r="G8" s="73"/>
      <c r="H8" s="87" t="s">
        <v>10</v>
      </c>
      <c r="I8" s="88" t="s">
        <v>11</v>
      </c>
      <c r="J8" s="3"/>
    </row>
    <row r="9" spans="1:10" ht="12.75">
      <c r="A9" s="86"/>
      <c r="B9" s="86"/>
      <c r="C9" s="73"/>
      <c r="D9" s="73"/>
      <c r="E9" s="73"/>
      <c r="F9" s="73"/>
      <c r="G9" s="73"/>
      <c r="H9" s="87"/>
      <c r="I9" s="88"/>
      <c r="J9" s="3"/>
    </row>
    <row r="10" spans="1:10" ht="12.75" customHeight="1">
      <c r="A10" s="82" t="s">
        <v>12</v>
      </c>
      <c r="B10" s="82"/>
      <c r="C10" s="83" t="str">
        <f>'Stavební rozpočet'!C8</f>
        <v> </v>
      </c>
      <c r="D10" s="83"/>
      <c r="E10" s="83" t="s">
        <v>13</v>
      </c>
      <c r="F10" s="83">
        <f>'Stavební rozpočet'!I8</f>
        <v>0</v>
      </c>
      <c r="G10" s="83"/>
      <c r="H10" s="84" t="s">
        <v>14</v>
      </c>
      <c r="I10" s="85" t="str">
        <f>'Stavební rozpočet'!F8</f>
        <v>21.07.2022</v>
      </c>
      <c r="J10" s="3"/>
    </row>
    <row r="11" spans="1:10" ht="12.75">
      <c r="A11" s="82"/>
      <c r="B11" s="82"/>
      <c r="C11" s="83"/>
      <c r="D11" s="83"/>
      <c r="E11" s="83"/>
      <c r="F11" s="83"/>
      <c r="G11" s="83"/>
      <c r="H11" s="84"/>
      <c r="I11" s="85"/>
      <c r="J11" s="3"/>
    </row>
    <row r="12" spans="1:9" ht="23.25" customHeight="1">
      <c r="A12" s="80" t="s">
        <v>15</v>
      </c>
      <c r="B12" s="80"/>
      <c r="C12" s="80"/>
      <c r="D12" s="80"/>
      <c r="E12" s="80"/>
      <c r="F12" s="80"/>
      <c r="G12" s="80"/>
      <c r="H12" s="80"/>
      <c r="I12" s="80"/>
    </row>
    <row r="13" spans="1:10" ht="26.25" customHeight="1">
      <c r="A13" s="6" t="s">
        <v>16</v>
      </c>
      <c r="B13" s="81" t="s">
        <v>17</v>
      </c>
      <c r="C13" s="81"/>
      <c r="D13" s="6" t="s">
        <v>18</v>
      </c>
      <c r="E13" s="81" t="s">
        <v>19</v>
      </c>
      <c r="F13" s="81"/>
      <c r="G13" s="6" t="s">
        <v>20</v>
      </c>
      <c r="H13" s="81" t="s">
        <v>21</v>
      </c>
      <c r="I13" s="81"/>
      <c r="J13" s="3"/>
    </row>
    <row r="14" spans="1:10" ht="15" customHeight="1">
      <c r="A14" s="7" t="s">
        <v>22</v>
      </c>
      <c r="B14" s="8" t="s">
        <v>23</v>
      </c>
      <c r="C14" s="9">
        <f>SUM('Stavební rozpočet'!AB12:AB129)</f>
        <v>0</v>
      </c>
      <c r="D14" s="79" t="s">
        <v>24</v>
      </c>
      <c r="E14" s="79"/>
      <c r="F14" s="9">
        <f>VORN!I15</f>
        <v>0</v>
      </c>
      <c r="G14" s="79" t="s">
        <v>25</v>
      </c>
      <c r="H14" s="79"/>
      <c r="I14" s="9">
        <f>VORN!I21</f>
        <v>0</v>
      </c>
      <c r="J14" s="3"/>
    </row>
    <row r="15" spans="1:10" ht="15" customHeight="1">
      <c r="A15" s="10"/>
      <c r="B15" s="8" t="s">
        <v>26</v>
      </c>
      <c r="C15" s="9">
        <f>SUM('Stavební rozpočet'!AC12:AC129)</f>
        <v>0</v>
      </c>
      <c r="D15" s="79" t="s">
        <v>27</v>
      </c>
      <c r="E15" s="79"/>
      <c r="F15" s="9">
        <f>VORN!I16</f>
        <v>0</v>
      </c>
      <c r="G15" s="79" t="s">
        <v>28</v>
      </c>
      <c r="H15" s="79"/>
      <c r="I15" s="9">
        <f>VORN!I22</f>
        <v>0</v>
      </c>
      <c r="J15" s="3"/>
    </row>
    <row r="16" spans="1:10" ht="15" customHeight="1">
      <c r="A16" s="7" t="s">
        <v>29</v>
      </c>
      <c r="B16" s="8" t="s">
        <v>23</v>
      </c>
      <c r="C16" s="9">
        <f>SUM('Stavební rozpočet'!AD12:AD129)</f>
        <v>0</v>
      </c>
      <c r="D16" s="79" t="s">
        <v>30</v>
      </c>
      <c r="E16" s="79"/>
      <c r="F16" s="9">
        <f>VORN!I17</f>
        <v>0</v>
      </c>
      <c r="G16" s="79" t="s">
        <v>31</v>
      </c>
      <c r="H16" s="79"/>
      <c r="I16" s="9">
        <f>VORN!I23</f>
        <v>0</v>
      </c>
      <c r="J16" s="3"/>
    </row>
    <row r="17" spans="1:10" ht="15" customHeight="1">
      <c r="A17" s="10"/>
      <c r="B17" s="8" t="s">
        <v>26</v>
      </c>
      <c r="C17" s="9">
        <f>SUM('Stavební rozpočet'!AE12:AE129)</f>
        <v>0</v>
      </c>
      <c r="D17" s="79"/>
      <c r="E17" s="79"/>
      <c r="F17" s="11"/>
      <c r="G17" s="79" t="s">
        <v>32</v>
      </c>
      <c r="H17" s="79"/>
      <c r="I17" s="9">
        <f>VORN!I24</f>
        <v>0</v>
      </c>
      <c r="J17" s="3"/>
    </row>
    <row r="18" spans="1:10" ht="15" customHeight="1">
      <c r="A18" s="7" t="s">
        <v>33</v>
      </c>
      <c r="B18" s="8" t="s">
        <v>23</v>
      </c>
      <c r="C18" s="9">
        <f>SUM('Stavební rozpočet'!AF12:AF129)</f>
        <v>0</v>
      </c>
      <c r="D18" s="79"/>
      <c r="E18" s="79"/>
      <c r="F18" s="11"/>
      <c r="G18" s="79" t="s">
        <v>34</v>
      </c>
      <c r="H18" s="79"/>
      <c r="I18" s="9">
        <f>VORN!I25</f>
        <v>0</v>
      </c>
      <c r="J18" s="3"/>
    </row>
    <row r="19" spans="1:10" ht="15" customHeight="1">
      <c r="A19" s="10"/>
      <c r="B19" s="8" t="s">
        <v>26</v>
      </c>
      <c r="C19" s="9">
        <f>SUM('Stavební rozpočet'!AG12:AG129)</f>
        <v>0</v>
      </c>
      <c r="D19" s="79"/>
      <c r="E19" s="79"/>
      <c r="F19" s="11"/>
      <c r="G19" s="79" t="s">
        <v>35</v>
      </c>
      <c r="H19" s="79"/>
      <c r="I19" s="9">
        <f>VORN!I26</f>
        <v>0</v>
      </c>
      <c r="J19" s="3"/>
    </row>
    <row r="20" spans="1:10" ht="15" customHeight="1">
      <c r="A20" s="78" t="s">
        <v>36</v>
      </c>
      <c r="B20" s="78"/>
      <c r="C20" s="9">
        <f>SUM('Stavební rozpočet'!AH12:AH129)</f>
        <v>0</v>
      </c>
      <c r="D20" s="79"/>
      <c r="E20" s="79"/>
      <c r="F20" s="11"/>
      <c r="G20" s="79"/>
      <c r="H20" s="79"/>
      <c r="I20" s="11"/>
      <c r="J20" s="3"/>
    </row>
    <row r="21" spans="1:10" ht="15" customHeight="1">
      <c r="A21" s="78" t="s">
        <v>37</v>
      </c>
      <c r="B21" s="78"/>
      <c r="C21" s="9">
        <f>SUM('Stavební rozpočet'!Z12:Z129)</f>
        <v>0</v>
      </c>
      <c r="D21" s="79"/>
      <c r="E21" s="79"/>
      <c r="F21" s="11"/>
      <c r="G21" s="79"/>
      <c r="H21" s="79"/>
      <c r="I21" s="11"/>
      <c r="J21" s="3"/>
    </row>
    <row r="22" spans="1:10" ht="16.5" customHeight="1">
      <c r="A22" s="78" t="s">
        <v>38</v>
      </c>
      <c r="B22" s="78"/>
      <c r="C22" s="9">
        <f>ROUND(SUM(C14:C21),1)</f>
        <v>0</v>
      </c>
      <c r="D22" s="78" t="s">
        <v>39</v>
      </c>
      <c r="E22" s="78"/>
      <c r="F22" s="9">
        <f>SUM(F14:F21)</f>
        <v>0</v>
      </c>
      <c r="G22" s="78" t="s">
        <v>40</v>
      </c>
      <c r="H22" s="78"/>
      <c r="I22" s="9">
        <f>SUM(I14:I21)</f>
        <v>0</v>
      </c>
      <c r="J22" s="3"/>
    </row>
    <row r="23" spans="1:10" ht="15" customHeight="1">
      <c r="A23" s="12"/>
      <c r="B23" s="12"/>
      <c r="C23" s="13"/>
      <c r="D23" s="78" t="s">
        <v>41</v>
      </c>
      <c r="E23" s="78"/>
      <c r="F23" s="14">
        <v>0</v>
      </c>
      <c r="G23" s="78" t="s">
        <v>42</v>
      </c>
      <c r="H23" s="78"/>
      <c r="I23" s="9">
        <v>0</v>
      </c>
      <c r="J23" s="3"/>
    </row>
    <row r="24" spans="4:10" ht="15" customHeight="1">
      <c r="D24" s="12"/>
      <c r="E24" s="12"/>
      <c r="F24" s="15"/>
      <c r="G24" s="78" t="s">
        <v>43</v>
      </c>
      <c r="H24" s="78"/>
      <c r="I24" s="9">
        <f>vorn_sum</f>
        <v>0</v>
      </c>
      <c r="J24" s="3"/>
    </row>
    <row r="25" spans="6:10" ht="15" customHeight="1">
      <c r="F25" s="16"/>
      <c r="G25" s="78" t="s">
        <v>44</v>
      </c>
      <c r="H25" s="78"/>
      <c r="I25" s="9">
        <v>0</v>
      </c>
      <c r="J25" s="3"/>
    </row>
    <row r="26" spans="1:9" ht="12.75">
      <c r="A26" s="2"/>
      <c r="B26" s="2"/>
      <c r="C26" s="2"/>
      <c r="G26" s="12"/>
      <c r="H26" s="12"/>
      <c r="I26" s="12"/>
    </row>
    <row r="27" spans="1:9" ht="15" customHeight="1">
      <c r="A27" s="76" t="s">
        <v>45</v>
      </c>
      <c r="B27" s="76"/>
      <c r="C27" s="17">
        <f>ROUND(SUM('Stavební rozpočet'!AJ12:AJ129),1)</f>
        <v>0</v>
      </c>
      <c r="D27" s="18"/>
      <c r="E27" s="2"/>
      <c r="F27" s="2"/>
      <c r="G27" s="2"/>
      <c r="H27" s="2"/>
      <c r="I27" s="2"/>
    </row>
    <row r="28" spans="1:10" ht="15" customHeight="1">
      <c r="A28" s="76" t="s">
        <v>46</v>
      </c>
      <c r="B28" s="76"/>
      <c r="C28" s="17">
        <f>ROUND(SUM('Stavební rozpočet'!AK12:AK129)+(F22+I22+F23+I23+I24+I25),1)</f>
        <v>0</v>
      </c>
      <c r="D28" s="76" t="s">
        <v>47</v>
      </c>
      <c r="E28" s="76"/>
      <c r="F28" s="17">
        <f>ROUND(C28*(15/100),2)</f>
        <v>0</v>
      </c>
      <c r="G28" s="76" t="s">
        <v>48</v>
      </c>
      <c r="H28" s="76"/>
      <c r="I28" s="17">
        <f>ROUND(SUM(C27:C29),1)</f>
        <v>0</v>
      </c>
      <c r="J28" s="3"/>
    </row>
    <row r="29" spans="1:10" ht="15" customHeight="1">
      <c r="A29" s="76" t="s">
        <v>49</v>
      </c>
      <c r="B29" s="76"/>
      <c r="C29" s="17">
        <f>ROUND(SUM('Stavební rozpočet'!AL12:AL129),1)</f>
        <v>0</v>
      </c>
      <c r="D29" s="76" t="s">
        <v>50</v>
      </c>
      <c r="E29" s="76"/>
      <c r="F29" s="17">
        <f>ROUND(C29*(21/100),2)</f>
        <v>0</v>
      </c>
      <c r="G29" s="76" t="s">
        <v>51</v>
      </c>
      <c r="H29" s="76"/>
      <c r="I29" s="17">
        <f>ROUND(SUM(F28:F29)+I28,1)</f>
        <v>0</v>
      </c>
      <c r="J29" s="3"/>
    </row>
    <row r="30" spans="1:9" ht="12.75">
      <c r="A30" s="19"/>
      <c r="B30" s="19"/>
      <c r="C30" s="19"/>
      <c r="D30" s="19"/>
      <c r="E30" s="19"/>
      <c r="F30" s="19"/>
      <c r="G30" s="19"/>
      <c r="H30" s="19"/>
      <c r="I30" s="19"/>
    </row>
    <row r="31" spans="1:10" ht="14.25" customHeight="1">
      <c r="A31" s="77" t="s">
        <v>52</v>
      </c>
      <c r="B31" s="77"/>
      <c r="C31" s="77"/>
      <c r="D31" s="77" t="s">
        <v>53</v>
      </c>
      <c r="E31" s="77"/>
      <c r="F31" s="77"/>
      <c r="G31" s="77" t="s">
        <v>54</v>
      </c>
      <c r="H31" s="77"/>
      <c r="I31" s="77"/>
      <c r="J31" s="20"/>
    </row>
    <row r="32" spans="1:10" ht="14.25" customHeight="1">
      <c r="A32" s="74"/>
      <c r="B32" s="74"/>
      <c r="C32" s="74"/>
      <c r="D32" s="74"/>
      <c r="E32" s="74"/>
      <c r="F32" s="74"/>
      <c r="G32" s="74"/>
      <c r="H32" s="74"/>
      <c r="I32" s="74"/>
      <c r="J32" s="20"/>
    </row>
    <row r="33" spans="1:10" ht="14.25" customHeight="1">
      <c r="A33" s="74"/>
      <c r="B33" s="74"/>
      <c r="C33" s="74"/>
      <c r="D33" s="74"/>
      <c r="E33" s="74"/>
      <c r="F33" s="74"/>
      <c r="G33" s="74"/>
      <c r="H33" s="74"/>
      <c r="I33" s="74"/>
      <c r="J33" s="20"/>
    </row>
    <row r="34" spans="1:10" ht="14.25" customHeight="1">
      <c r="A34" s="74"/>
      <c r="B34" s="74"/>
      <c r="C34" s="74"/>
      <c r="D34" s="74"/>
      <c r="E34" s="74"/>
      <c r="F34" s="74"/>
      <c r="G34" s="74"/>
      <c r="H34" s="74"/>
      <c r="I34" s="74"/>
      <c r="J34" s="20"/>
    </row>
    <row r="35" spans="1:10" ht="14.25" customHeight="1">
      <c r="A35" s="75" t="s">
        <v>55</v>
      </c>
      <c r="B35" s="75"/>
      <c r="C35" s="75"/>
      <c r="D35" s="75" t="s">
        <v>55</v>
      </c>
      <c r="E35" s="75"/>
      <c r="F35" s="75"/>
      <c r="G35" s="75" t="s">
        <v>55</v>
      </c>
      <c r="H35" s="75"/>
      <c r="I35" s="75"/>
      <c r="J35" s="20"/>
    </row>
    <row r="36" spans="1:9" ht="11.25" customHeight="1">
      <c r="A36" s="21" t="s">
        <v>56</v>
      </c>
      <c r="B36" s="22"/>
      <c r="C36" s="22"/>
      <c r="D36" s="22"/>
      <c r="E36" s="22"/>
      <c r="F36" s="22"/>
      <c r="G36" s="22"/>
      <c r="H36" s="22"/>
      <c r="I36" s="22"/>
    </row>
    <row r="37" spans="1:9" ht="25.5" customHeight="1">
      <c r="A37" s="73" t="s">
        <v>57</v>
      </c>
      <c r="B37" s="73"/>
      <c r="C37" s="73"/>
      <c r="D37" s="73"/>
      <c r="E37" s="73"/>
      <c r="F37" s="73"/>
      <c r="G37" s="73"/>
      <c r="H37" s="73"/>
      <c r="I37" s="73"/>
    </row>
  </sheetData>
  <sheetProtection selectLockedCells="1" selectUnlockedCells="1"/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375" right="0.39375" top="0.5909722222222222" bottom="0.5909722222222222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E4" sqref="E4:G5"/>
    </sheetView>
  </sheetViews>
  <sheetFormatPr defaultColWidth="11.57421875" defaultRowHeight="12.75"/>
  <cols>
    <col min="1" max="2" width="16.57421875" style="0" customWidth="1"/>
    <col min="3" max="3" width="41.7109375" style="0" customWidth="1"/>
    <col min="4" max="4" width="11.57421875" style="0" customWidth="1"/>
    <col min="5" max="5" width="22.140625" style="0" customWidth="1"/>
    <col min="6" max="6" width="21.00390625" style="0" customWidth="1"/>
    <col min="7" max="7" width="20.8515625" style="0" customWidth="1"/>
    <col min="8" max="9" width="11.57421875" style="0" hidden="1" customWidth="1"/>
  </cols>
  <sheetData>
    <row r="1" spans="1:7" ht="48.75" customHeight="1">
      <c r="A1" s="101" t="s">
        <v>58</v>
      </c>
      <c r="B1" s="101"/>
      <c r="C1" s="101"/>
      <c r="D1" s="101"/>
      <c r="E1" s="101"/>
      <c r="F1" s="101"/>
      <c r="G1" s="101"/>
    </row>
    <row r="2" spans="1:8" ht="12.75" customHeight="1">
      <c r="A2" s="90" t="s">
        <v>1</v>
      </c>
      <c r="B2" s="91" t="str">
        <f>'Stavební rozpočet'!C2</f>
        <v>Výměna rozvodů vody a kanalizace</v>
      </c>
      <c r="C2" s="91"/>
      <c r="D2" s="92" t="s">
        <v>2</v>
      </c>
      <c r="E2" s="102" t="str">
        <f>'Stavební rozpočet'!I2</f>
        <v>Statutární město Karviná, Fryštátská 72/1, Karviná</v>
      </c>
      <c r="F2" s="102"/>
      <c r="G2" s="102"/>
      <c r="H2" s="3"/>
    </row>
    <row r="3" spans="1:8" ht="12.75">
      <c r="A3" s="90"/>
      <c r="B3" s="91"/>
      <c r="C3" s="91"/>
      <c r="D3" s="92"/>
      <c r="E3" s="92"/>
      <c r="F3" s="102"/>
      <c r="G3" s="102"/>
      <c r="H3" s="3"/>
    </row>
    <row r="4" spans="1:8" ht="12.75" customHeight="1">
      <c r="A4" s="86" t="s">
        <v>4</v>
      </c>
      <c r="B4" s="73" t="str">
        <f>'Stavební rozpočet'!C4</f>
        <v>Budovatelů 1416-1421</v>
      </c>
      <c r="C4" s="73"/>
      <c r="D4" s="73" t="s">
        <v>5</v>
      </c>
      <c r="E4" s="96"/>
      <c r="F4" s="96"/>
      <c r="G4" s="96"/>
      <c r="H4" s="3"/>
    </row>
    <row r="5" spans="1:8" ht="12.75">
      <c r="A5" s="86"/>
      <c r="B5" s="73"/>
      <c r="C5" s="73"/>
      <c r="D5" s="73"/>
      <c r="E5" s="73"/>
      <c r="F5" s="96"/>
      <c r="G5" s="96"/>
      <c r="H5" s="3"/>
    </row>
    <row r="6" spans="1:8" ht="12.75" customHeight="1">
      <c r="A6" s="86" t="s">
        <v>6</v>
      </c>
      <c r="B6" s="73" t="str">
        <f>'Stavební rozpočet'!C6</f>
        <v>Karviná-Nové Město</v>
      </c>
      <c r="C6" s="73"/>
      <c r="D6" s="73" t="s">
        <v>7</v>
      </c>
      <c r="E6" s="96" t="str">
        <f>'Stavební rozpočet'!I6</f>
        <v> </v>
      </c>
      <c r="F6" s="96"/>
      <c r="G6" s="96"/>
      <c r="H6" s="3"/>
    </row>
    <row r="7" spans="1:8" ht="12.75">
      <c r="A7" s="86"/>
      <c r="B7" s="73"/>
      <c r="C7" s="73"/>
      <c r="D7" s="73"/>
      <c r="E7" s="73"/>
      <c r="F7" s="96"/>
      <c r="G7" s="96"/>
      <c r="H7" s="3"/>
    </row>
    <row r="8" spans="1:8" ht="12.75" customHeight="1">
      <c r="A8" s="97" t="s">
        <v>13</v>
      </c>
      <c r="B8" s="98">
        <f>'Stavební rozpočet'!I8</f>
        <v>0</v>
      </c>
      <c r="C8" s="98"/>
      <c r="D8" s="99" t="s">
        <v>59</v>
      </c>
      <c r="E8" s="100" t="str">
        <f>'Stavební rozpočet'!F8</f>
        <v>21.07.2022</v>
      </c>
      <c r="F8" s="100"/>
      <c r="G8" s="100"/>
      <c r="H8" s="3"/>
    </row>
    <row r="9" spans="1:8" ht="12.75">
      <c r="A9" s="97"/>
      <c r="B9" s="98"/>
      <c r="C9" s="98"/>
      <c r="D9" s="99"/>
      <c r="E9" s="99"/>
      <c r="F9" s="100"/>
      <c r="G9" s="100"/>
      <c r="H9" s="3"/>
    </row>
    <row r="10" spans="1:8" ht="12.75">
      <c r="A10" s="23" t="s">
        <v>60</v>
      </c>
      <c r="B10" s="24" t="s">
        <v>61</v>
      </c>
      <c r="C10" s="94" t="s">
        <v>62</v>
      </c>
      <c r="D10" s="94"/>
      <c r="E10" s="25" t="s">
        <v>63</v>
      </c>
      <c r="F10" s="25" t="s">
        <v>64</v>
      </c>
      <c r="G10" s="25" t="s">
        <v>65</v>
      </c>
      <c r="H10" s="3"/>
    </row>
    <row r="11" spans="1:9" ht="12.75">
      <c r="A11" s="26"/>
      <c r="B11" s="27" t="s">
        <v>66</v>
      </c>
      <c r="C11" s="95" t="s">
        <v>67</v>
      </c>
      <c r="D11" s="95"/>
      <c r="E11" s="28">
        <f>'Stavební rozpočet'!I12</f>
        <v>0</v>
      </c>
      <c r="F11" s="28">
        <f>'Stavební rozpočet'!J12</f>
        <v>0</v>
      </c>
      <c r="G11" s="28">
        <f>'Stavební rozpočet'!K12</f>
        <v>0</v>
      </c>
      <c r="H11" s="29" t="s">
        <v>68</v>
      </c>
      <c r="I11" s="29">
        <f aca="true" t="shared" si="0" ref="I11:I18">IF(H11="F",0,G11)</f>
        <v>0</v>
      </c>
    </row>
    <row r="12" spans="1:9" ht="12.75">
      <c r="A12" s="30"/>
      <c r="B12" s="4" t="s">
        <v>69</v>
      </c>
      <c r="C12" s="87" t="s">
        <v>70</v>
      </c>
      <c r="D12" s="87"/>
      <c r="E12" s="29">
        <f>'Stavební rozpočet'!I31</f>
        <v>0</v>
      </c>
      <c r="F12" s="29">
        <f>'Stavební rozpočet'!J31</f>
        <v>0</v>
      </c>
      <c r="G12" s="29">
        <f>'Stavební rozpočet'!K31</f>
        <v>0</v>
      </c>
      <c r="H12" s="29" t="s">
        <v>68</v>
      </c>
      <c r="I12" s="29">
        <f t="shared" si="0"/>
        <v>0</v>
      </c>
    </row>
    <row r="13" spans="1:9" ht="12.75">
      <c r="A13" s="30"/>
      <c r="B13" s="4" t="s">
        <v>71</v>
      </c>
      <c r="C13" s="87" t="s">
        <v>72</v>
      </c>
      <c r="D13" s="87"/>
      <c r="E13" s="29">
        <f>'Stavební rozpočet'!I57</f>
        <v>0</v>
      </c>
      <c r="F13" s="29">
        <f>'Stavební rozpočet'!J57</f>
        <v>0</v>
      </c>
      <c r="G13" s="29">
        <f>'Stavební rozpočet'!K57</f>
        <v>0</v>
      </c>
      <c r="H13" s="29" t="s">
        <v>68</v>
      </c>
      <c r="I13" s="29">
        <f t="shared" si="0"/>
        <v>0</v>
      </c>
    </row>
    <row r="14" spans="1:9" ht="12.75">
      <c r="A14" s="30"/>
      <c r="B14" s="4" t="s">
        <v>73</v>
      </c>
      <c r="C14" s="87" t="s">
        <v>74</v>
      </c>
      <c r="D14" s="87"/>
      <c r="E14" s="29">
        <f>'Stavební rozpočet'!I59</f>
        <v>0</v>
      </c>
      <c r="F14" s="29">
        <f>'Stavební rozpočet'!J59</f>
        <v>0</v>
      </c>
      <c r="G14" s="29">
        <f>'Stavební rozpočet'!K59</f>
        <v>0</v>
      </c>
      <c r="H14" s="29" t="s">
        <v>68</v>
      </c>
      <c r="I14" s="29">
        <f t="shared" si="0"/>
        <v>0</v>
      </c>
    </row>
    <row r="15" spans="1:9" ht="12.75">
      <c r="A15" s="30"/>
      <c r="B15" s="4" t="s">
        <v>75</v>
      </c>
      <c r="C15" s="87" t="s">
        <v>76</v>
      </c>
      <c r="D15" s="87"/>
      <c r="E15" s="29">
        <f>'Stavební rozpočet'!I78</f>
        <v>0</v>
      </c>
      <c r="F15" s="29">
        <f>'Stavební rozpočet'!J78</f>
        <v>0</v>
      </c>
      <c r="G15" s="29">
        <f>'Stavební rozpočet'!K78</f>
        <v>0</v>
      </c>
      <c r="H15" s="29" t="s">
        <v>68</v>
      </c>
      <c r="I15" s="29">
        <f t="shared" si="0"/>
        <v>0</v>
      </c>
    </row>
    <row r="16" spans="1:9" ht="12.75">
      <c r="A16" s="30"/>
      <c r="B16" s="4" t="s">
        <v>77</v>
      </c>
      <c r="C16" s="87" t="s">
        <v>78</v>
      </c>
      <c r="D16" s="87"/>
      <c r="E16" s="29">
        <f>'Stavební rozpočet'!I101</f>
        <v>0</v>
      </c>
      <c r="F16" s="29">
        <f>'Stavební rozpočet'!J101</f>
        <v>0</v>
      </c>
      <c r="G16" s="29">
        <f>'Stavební rozpočet'!K101</f>
        <v>0</v>
      </c>
      <c r="H16" s="29" t="s">
        <v>68</v>
      </c>
      <c r="I16" s="29">
        <f t="shared" si="0"/>
        <v>0</v>
      </c>
    </row>
    <row r="17" spans="1:9" ht="12.75">
      <c r="A17" s="30"/>
      <c r="B17" s="4" t="s">
        <v>79</v>
      </c>
      <c r="C17" s="87" t="s">
        <v>80</v>
      </c>
      <c r="D17" s="87"/>
      <c r="E17" s="29">
        <f>'Stavební rozpočet'!I113</f>
        <v>0</v>
      </c>
      <c r="F17" s="29">
        <f>'Stavební rozpočet'!J113</f>
        <v>0</v>
      </c>
      <c r="G17" s="29">
        <f>'Stavební rozpočet'!K113</f>
        <v>0</v>
      </c>
      <c r="H17" s="29" t="s">
        <v>68</v>
      </c>
      <c r="I17" s="29">
        <f t="shared" si="0"/>
        <v>0</v>
      </c>
    </row>
    <row r="18" spans="1:9" ht="12.75">
      <c r="A18" s="30"/>
      <c r="B18" s="4" t="s">
        <v>81</v>
      </c>
      <c r="C18" s="87" t="s">
        <v>82</v>
      </c>
      <c r="D18" s="87"/>
      <c r="E18" s="29">
        <f>'Stavební rozpočet'!I125</f>
        <v>0</v>
      </c>
      <c r="F18" s="29">
        <f>'Stavební rozpočet'!J125</f>
        <v>0</v>
      </c>
      <c r="G18" s="29">
        <f>'Stavební rozpočet'!K125</f>
        <v>0</v>
      </c>
      <c r="H18" s="29" t="s">
        <v>68</v>
      </c>
      <c r="I18" s="29">
        <f t="shared" si="0"/>
        <v>0</v>
      </c>
    </row>
    <row r="19" spans="6:7" ht="12.75">
      <c r="F19" s="31" t="s">
        <v>83</v>
      </c>
      <c r="G19" s="32">
        <f>ROUND(SUM(I11:I18),1)</f>
        <v>0</v>
      </c>
    </row>
  </sheetData>
  <sheetProtection selectLockedCells="1" selectUnlockedCells="1"/>
  <mergeCells count="26">
    <mergeCell ref="A1:G1"/>
    <mergeCell ref="A2:A3"/>
    <mergeCell ref="B2:C3"/>
    <mergeCell ref="D2:D3"/>
    <mergeCell ref="E2:G3"/>
    <mergeCell ref="A4:A5"/>
    <mergeCell ref="B4:C5"/>
    <mergeCell ref="D4:D5"/>
    <mergeCell ref="E4:G5"/>
    <mergeCell ref="A6:A7"/>
    <mergeCell ref="B6:C7"/>
    <mergeCell ref="D6:D7"/>
    <mergeCell ref="E6:G7"/>
    <mergeCell ref="A8:A9"/>
    <mergeCell ref="B8:C9"/>
    <mergeCell ref="D8:D9"/>
    <mergeCell ref="E8:G9"/>
    <mergeCell ref="C16:D16"/>
    <mergeCell ref="C17:D17"/>
    <mergeCell ref="C18:D18"/>
    <mergeCell ref="C10:D10"/>
    <mergeCell ref="C11:D11"/>
    <mergeCell ref="C12:D12"/>
    <mergeCell ref="C13:D13"/>
    <mergeCell ref="C14:D14"/>
    <mergeCell ref="C15:D15"/>
  </mergeCells>
  <printOptions/>
  <pageMargins left="0.39375" right="0.39375" top="0.5909722222222222" bottom="0.5909722222222222" header="0.5118055555555555" footer="0.5118055555555555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F4" sqref="F4:G5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7.140625" style="0" customWidth="1"/>
    <col min="9" max="9" width="22.8515625" style="0" customWidth="1"/>
  </cols>
  <sheetData>
    <row r="1" spans="1:9" ht="49.5" customHeight="1">
      <c r="A1" s="1"/>
      <c r="B1" s="2"/>
      <c r="C1" s="89" t="s">
        <v>84</v>
      </c>
      <c r="D1" s="89"/>
      <c r="E1" s="89"/>
      <c r="F1" s="89"/>
      <c r="G1" s="89"/>
      <c r="H1" s="89"/>
      <c r="I1" s="89"/>
    </row>
    <row r="2" spans="1:10" ht="12.75" customHeight="1">
      <c r="A2" s="90" t="s">
        <v>1</v>
      </c>
      <c r="B2" s="90"/>
      <c r="C2" s="91" t="str">
        <f>'Stavební rozpočet'!C2</f>
        <v>Výměna rozvodů vody a kanalizace</v>
      </c>
      <c r="D2" s="91"/>
      <c r="E2" s="92" t="s">
        <v>2</v>
      </c>
      <c r="F2" s="92" t="str">
        <f>'Stavební rozpočet'!I2</f>
        <v>Statutární město Karviná, Fryštátská 72/1, Karviná</v>
      </c>
      <c r="G2" s="92"/>
      <c r="H2" s="92" t="s">
        <v>3</v>
      </c>
      <c r="I2" s="93"/>
      <c r="J2" s="3"/>
    </row>
    <row r="3" spans="1:10" ht="12.75">
      <c r="A3" s="90"/>
      <c r="B3" s="90"/>
      <c r="C3" s="91"/>
      <c r="D3" s="91"/>
      <c r="E3" s="92"/>
      <c r="F3" s="92"/>
      <c r="G3" s="92"/>
      <c r="H3" s="92"/>
      <c r="I3" s="93"/>
      <c r="J3" s="3"/>
    </row>
    <row r="4" spans="1:10" ht="12.75" customHeight="1">
      <c r="A4" s="86" t="s">
        <v>4</v>
      </c>
      <c r="B4" s="86"/>
      <c r="C4" s="73" t="str">
        <f>'Stavební rozpočet'!C4</f>
        <v>Budovatelů 1416-1421</v>
      </c>
      <c r="D4" s="73"/>
      <c r="E4" s="73" t="s">
        <v>5</v>
      </c>
      <c r="F4" s="73"/>
      <c r="G4" s="73"/>
      <c r="H4" s="73" t="s">
        <v>3</v>
      </c>
      <c r="I4" s="88"/>
      <c r="J4" s="3"/>
    </row>
    <row r="5" spans="1:10" ht="12.75">
      <c r="A5" s="86"/>
      <c r="B5" s="86"/>
      <c r="C5" s="73"/>
      <c r="D5" s="73"/>
      <c r="E5" s="73"/>
      <c r="F5" s="73"/>
      <c r="G5" s="73"/>
      <c r="H5" s="73"/>
      <c r="I5" s="88"/>
      <c r="J5" s="3"/>
    </row>
    <row r="6" spans="1:10" ht="12.75" customHeight="1">
      <c r="A6" s="86" t="s">
        <v>6</v>
      </c>
      <c r="B6" s="86"/>
      <c r="C6" s="73" t="str">
        <f>'Stavební rozpočet'!C6</f>
        <v>Karviná-Nové Město</v>
      </c>
      <c r="D6" s="73"/>
      <c r="E6" s="73" t="s">
        <v>7</v>
      </c>
      <c r="F6" s="73" t="str">
        <f>'Stavební rozpočet'!I6</f>
        <v> </v>
      </c>
      <c r="G6" s="73"/>
      <c r="H6" s="73" t="s">
        <v>3</v>
      </c>
      <c r="I6" s="88"/>
      <c r="J6" s="3"/>
    </row>
    <row r="7" spans="1:10" ht="12.75">
      <c r="A7" s="86"/>
      <c r="B7" s="86"/>
      <c r="C7" s="73"/>
      <c r="D7" s="73"/>
      <c r="E7" s="73"/>
      <c r="F7" s="73"/>
      <c r="G7" s="73"/>
      <c r="H7" s="73"/>
      <c r="I7" s="88"/>
      <c r="J7" s="3"/>
    </row>
    <row r="8" spans="1:10" ht="12.75" customHeight="1">
      <c r="A8" s="86" t="s">
        <v>8</v>
      </c>
      <c r="B8" s="86"/>
      <c r="C8" s="73" t="str">
        <f>'Stavební rozpočet'!F4</f>
        <v> </v>
      </c>
      <c r="D8" s="73"/>
      <c r="E8" s="73" t="s">
        <v>9</v>
      </c>
      <c r="F8" s="73" t="str">
        <f>'Stavební rozpočet'!F6</f>
        <v> </v>
      </c>
      <c r="G8" s="73"/>
      <c r="H8" s="87" t="s">
        <v>10</v>
      </c>
      <c r="I8" s="88" t="s">
        <v>11</v>
      </c>
      <c r="J8" s="3"/>
    </row>
    <row r="9" spans="1:10" ht="12.75">
      <c r="A9" s="86"/>
      <c r="B9" s="86"/>
      <c r="C9" s="73"/>
      <c r="D9" s="73"/>
      <c r="E9" s="73"/>
      <c r="F9" s="73"/>
      <c r="G9" s="73"/>
      <c r="H9" s="87"/>
      <c r="I9" s="88"/>
      <c r="J9" s="3"/>
    </row>
    <row r="10" spans="1:10" ht="12.75" customHeight="1">
      <c r="A10" s="82" t="s">
        <v>12</v>
      </c>
      <c r="B10" s="82"/>
      <c r="C10" s="83" t="str">
        <f>'Stavební rozpočet'!C8</f>
        <v> </v>
      </c>
      <c r="D10" s="83"/>
      <c r="E10" s="83" t="s">
        <v>13</v>
      </c>
      <c r="F10" s="83">
        <f>'Stavební rozpočet'!I8</f>
        <v>0</v>
      </c>
      <c r="G10" s="83"/>
      <c r="H10" s="84" t="s">
        <v>14</v>
      </c>
      <c r="I10" s="85" t="str">
        <f>'Stavební rozpočet'!F8</f>
        <v>21.07.2022</v>
      </c>
      <c r="J10" s="3"/>
    </row>
    <row r="11" spans="1:10" ht="12.75">
      <c r="A11" s="82"/>
      <c r="B11" s="82"/>
      <c r="C11" s="83"/>
      <c r="D11" s="83"/>
      <c r="E11" s="83"/>
      <c r="F11" s="83"/>
      <c r="G11" s="83"/>
      <c r="H11" s="84"/>
      <c r="I11" s="85"/>
      <c r="J11" s="3"/>
    </row>
    <row r="12" spans="1:9" ht="12.75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15" customHeight="1">
      <c r="A13" s="107" t="s">
        <v>85</v>
      </c>
      <c r="B13" s="107"/>
      <c r="C13" s="107"/>
      <c r="D13" s="107"/>
      <c r="E13" s="107"/>
      <c r="F13" s="33"/>
      <c r="G13" s="33"/>
      <c r="H13" s="33"/>
      <c r="I13" s="33"/>
    </row>
    <row r="14" spans="1:10" ht="12.75">
      <c r="A14" s="108" t="s">
        <v>86</v>
      </c>
      <c r="B14" s="108"/>
      <c r="C14" s="108"/>
      <c r="D14" s="108"/>
      <c r="E14" s="108"/>
      <c r="F14" s="34" t="s">
        <v>87</v>
      </c>
      <c r="G14" s="34" t="s">
        <v>88</v>
      </c>
      <c r="H14" s="34" t="s">
        <v>89</v>
      </c>
      <c r="I14" s="34" t="s">
        <v>87</v>
      </c>
      <c r="J14" s="20"/>
    </row>
    <row r="15" spans="1:10" ht="12.75">
      <c r="A15" s="109" t="s">
        <v>24</v>
      </c>
      <c r="B15" s="109"/>
      <c r="C15" s="109"/>
      <c r="D15" s="109"/>
      <c r="E15" s="109"/>
      <c r="F15" s="36">
        <v>0</v>
      </c>
      <c r="G15" s="35"/>
      <c r="H15" s="35"/>
      <c r="I15" s="36">
        <f>F15</f>
        <v>0</v>
      </c>
      <c r="J15" s="3"/>
    </row>
    <row r="16" spans="1:10" ht="12.75">
      <c r="A16" s="109" t="s">
        <v>27</v>
      </c>
      <c r="B16" s="109"/>
      <c r="C16" s="109"/>
      <c r="D16" s="109"/>
      <c r="E16" s="109"/>
      <c r="F16" s="36">
        <v>0</v>
      </c>
      <c r="G16" s="35"/>
      <c r="H16" s="35"/>
      <c r="I16" s="36">
        <f>F16</f>
        <v>0</v>
      </c>
      <c r="J16" s="3"/>
    </row>
    <row r="17" spans="1:10" ht="12.75">
      <c r="A17" s="103" t="s">
        <v>30</v>
      </c>
      <c r="B17" s="103"/>
      <c r="C17" s="103"/>
      <c r="D17" s="103"/>
      <c r="E17" s="103"/>
      <c r="F17" s="38">
        <v>0</v>
      </c>
      <c r="G17" s="37"/>
      <c r="H17" s="37"/>
      <c r="I17" s="38">
        <f>F17</f>
        <v>0</v>
      </c>
      <c r="J17" s="3"/>
    </row>
    <row r="18" spans="1:10" ht="12.75">
      <c r="A18" s="104" t="s">
        <v>90</v>
      </c>
      <c r="B18" s="104"/>
      <c r="C18" s="104"/>
      <c r="D18" s="104"/>
      <c r="E18" s="104"/>
      <c r="F18" s="23"/>
      <c r="G18" s="39"/>
      <c r="H18" s="39"/>
      <c r="I18" s="40">
        <f>SUM(I15:I17)</f>
        <v>0</v>
      </c>
      <c r="J18" s="20"/>
    </row>
    <row r="19" spans="1:9" ht="12.75">
      <c r="A19" s="41"/>
      <c r="B19" s="41"/>
      <c r="C19" s="41"/>
      <c r="D19" s="41"/>
      <c r="E19" s="41"/>
      <c r="F19" s="41"/>
      <c r="G19" s="41"/>
      <c r="H19" s="41"/>
      <c r="I19" s="41"/>
    </row>
    <row r="20" spans="1:10" ht="12.75">
      <c r="A20" s="108" t="s">
        <v>21</v>
      </c>
      <c r="B20" s="108"/>
      <c r="C20" s="108"/>
      <c r="D20" s="108"/>
      <c r="E20" s="108"/>
      <c r="F20" s="34" t="s">
        <v>87</v>
      </c>
      <c r="G20" s="34" t="s">
        <v>88</v>
      </c>
      <c r="H20" s="34" t="s">
        <v>89</v>
      </c>
      <c r="I20" s="34" t="s">
        <v>87</v>
      </c>
      <c r="J20" s="20"/>
    </row>
    <row r="21" spans="1:10" ht="12.75">
      <c r="A21" s="109" t="s">
        <v>25</v>
      </c>
      <c r="B21" s="109"/>
      <c r="C21" s="109"/>
      <c r="D21" s="109"/>
      <c r="E21" s="109"/>
      <c r="F21" s="36">
        <v>0</v>
      </c>
      <c r="G21" s="35"/>
      <c r="H21" s="35"/>
      <c r="I21" s="36">
        <f aca="true" t="shared" si="0" ref="I21:I26">F21</f>
        <v>0</v>
      </c>
      <c r="J21" s="3"/>
    </row>
    <row r="22" spans="1:10" ht="12.75">
      <c r="A22" s="109" t="s">
        <v>28</v>
      </c>
      <c r="B22" s="109"/>
      <c r="C22" s="109"/>
      <c r="D22" s="109"/>
      <c r="E22" s="109"/>
      <c r="F22" s="36">
        <v>0</v>
      </c>
      <c r="G22" s="35"/>
      <c r="H22" s="35"/>
      <c r="I22" s="36">
        <f t="shared" si="0"/>
        <v>0</v>
      </c>
      <c r="J22" s="3"/>
    </row>
    <row r="23" spans="1:10" ht="12.75">
      <c r="A23" s="109" t="s">
        <v>31</v>
      </c>
      <c r="B23" s="109"/>
      <c r="C23" s="109"/>
      <c r="D23" s="109"/>
      <c r="E23" s="109"/>
      <c r="F23" s="36">
        <v>0</v>
      </c>
      <c r="G23" s="35"/>
      <c r="H23" s="35"/>
      <c r="I23" s="36">
        <f t="shared" si="0"/>
        <v>0</v>
      </c>
      <c r="J23" s="3"/>
    </row>
    <row r="24" spans="1:10" ht="12.75">
      <c r="A24" s="109" t="s">
        <v>32</v>
      </c>
      <c r="B24" s="109"/>
      <c r="C24" s="109"/>
      <c r="D24" s="109"/>
      <c r="E24" s="109"/>
      <c r="F24" s="36">
        <v>0</v>
      </c>
      <c r="G24" s="35"/>
      <c r="H24" s="35"/>
      <c r="I24" s="36">
        <f t="shared" si="0"/>
        <v>0</v>
      </c>
      <c r="J24" s="3"/>
    </row>
    <row r="25" spans="1:10" ht="12.75">
      <c r="A25" s="109" t="s">
        <v>34</v>
      </c>
      <c r="B25" s="109"/>
      <c r="C25" s="109"/>
      <c r="D25" s="109"/>
      <c r="E25" s="109"/>
      <c r="F25" s="36">
        <v>0</v>
      </c>
      <c r="G25" s="35"/>
      <c r="H25" s="35"/>
      <c r="I25" s="36">
        <f t="shared" si="0"/>
        <v>0</v>
      </c>
      <c r="J25" s="3"/>
    </row>
    <row r="26" spans="1:10" ht="12.75">
      <c r="A26" s="103" t="s">
        <v>35</v>
      </c>
      <c r="B26" s="103"/>
      <c r="C26" s="103"/>
      <c r="D26" s="103"/>
      <c r="E26" s="103"/>
      <c r="F26" s="38">
        <v>0</v>
      </c>
      <c r="G26" s="37"/>
      <c r="H26" s="37"/>
      <c r="I26" s="38">
        <f t="shared" si="0"/>
        <v>0</v>
      </c>
      <c r="J26" s="3"/>
    </row>
    <row r="27" spans="1:10" ht="12.75">
      <c r="A27" s="104" t="s">
        <v>91</v>
      </c>
      <c r="B27" s="104"/>
      <c r="C27" s="104"/>
      <c r="D27" s="104"/>
      <c r="E27" s="104"/>
      <c r="F27" s="23"/>
      <c r="G27" s="39"/>
      <c r="H27" s="39"/>
      <c r="I27" s="40">
        <f>SUM(I21:I26)</f>
        <v>0</v>
      </c>
      <c r="J27" s="20"/>
    </row>
    <row r="28" spans="1:9" ht="12.75">
      <c r="A28" s="41"/>
      <c r="B28" s="41"/>
      <c r="C28" s="41"/>
      <c r="D28" s="41"/>
      <c r="E28" s="41"/>
      <c r="F28" s="41"/>
      <c r="G28" s="41"/>
      <c r="H28" s="41"/>
      <c r="I28" s="41"/>
    </row>
    <row r="29" spans="1:10" ht="15" customHeight="1">
      <c r="A29" s="105" t="s">
        <v>92</v>
      </c>
      <c r="B29" s="105"/>
      <c r="C29" s="105"/>
      <c r="D29" s="105"/>
      <c r="E29" s="105"/>
      <c r="F29" s="106">
        <f>I18+I27</f>
        <v>0</v>
      </c>
      <c r="G29" s="106"/>
      <c r="H29" s="106"/>
      <c r="I29" s="106"/>
      <c r="J29" s="20"/>
    </row>
    <row r="30" spans="1:9" ht="12.75">
      <c r="A30" s="22"/>
      <c r="B30" s="22"/>
      <c r="C30" s="22"/>
      <c r="D30" s="22"/>
      <c r="E30" s="22"/>
      <c r="F30" s="22"/>
      <c r="G30" s="22"/>
      <c r="H30" s="22"/>
      <c r="I30" s="22"/>
    </row>
    <row r="33" spans="1:9" ht="15" customHeight="1">
      <c r="A33" s="107" t="s">
        <v>93</v>
      </c>
      <c r="B33" s="107"/>
      <c r="C33" s="107"/>
      <c r="D33" s="107"/>
      <c r="E33" s="107"/>
      <c r="F33" s="33"/>
      <c r="G33" s="33"/>
      <c r="H33" s="33"/>
      <c r="I33" s="33"/>
    </row>
    <row r="34" spans="1:10" ht="12.75">
      <c r="A34" s="108" t="s">
        <v>94</v>
      </c>
      <c r="B34" s="108"/>
      <c r="C34" s="108"/>
      <c r="D34" s="108"/>
      <c r="E34" s="108"/>
      <c r="F34" s="34" t="s">
        <v>87</v>
      </c>
      <c r="G34" s="34" t="s">
        <v>88</v>
      </c>
      <c r="H34" s="34" t="s">
        <v>89</v>
      </c>
      <c r="I34" s="34" t="s">
        <v>87</v>
      </c>
      <c r="J34" s="20"/>
    </row>
    <row r="35" spans="1:10" ht="12.75">
      <c r="A35" s="103"/>
      <c r="B35" s="103"/>
      <c r="C35" s="103"/>
      <c r="D35" s="103"/>
      <c r="E35" s="103"/>
      <c r="F35" s="38">
        <v>0</v>
      </c>
      <c r="G35" s="37"/>
      <c r="H35" s="37"/>
      <c r="I35" s="38">
        <f>F35</f>
        <v>0</v>
      </c>
      <c r="J35" s="3"/>
    </row>
    <row r="36" spans="1:10" ht="12.75">
      <c r="A36" s="104" t="s">
        <v>95</v>
      </c>
      <c r="B36" s="104"/>
      <c r="C36" s="104"/>
      <c r="D36" s="104"/>
      <c r="E36" s="104"/>
      <c r="F36" s="23"/>
      <c r="G36" s="39"/>
      <c r="H36" s="39"/>
      <c r="I36" s="40">
        <f>SUM(I35:I35)</f>
        <v>0</v>
      </c>
      <c r="J36" s="20"/>
    </row>
    <row r="37" spans="1:9" ht="12.75">
      <c r="A37" s="22"/>
      <c r="B37" s="22"/>
      <c r="C37" s="22"/>
      <c r="D37" s="22"/>
      <c r="E37" s="22"/>
      <c r="F37" s="22"/>
      <c r="G37" s="22"/>
      <c r="H37" s="22"/>
      <c r="I37" s="22"/>
    </row>
  </sheetData>
  <sheetProtection selectLockedCells="1" selectUnlockedCells="1"/>
  <mergeCells count="51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3:E13"/>
    <mergeCell ref="A14:E14"/>
    <mergeCell ref="A15:E15"/>
    <mergeCell ref="A16:E16"/>
    <mergeCell ref="A17:E17"/>
    <mergeCell ref="A18:E18"/>
    <mergeCell ref="A20:E20"/>
    <mergeCell ref="A21:E21"/>
    <mergeCell ref="A22:E22"/>
    <mergeCell ref="A23:E23"/>
    <mergeCell ref="A24:E24"/>
    <mergeCell ref="A25:E25"/>
    <mergeCell ref="A35:E35"/>
    <mergeCell ref="A36:E36"/>
    <mergeCell ref="A26:E26"/>
    <mergeCell ref="A27:E27"/>
    <mergeCell ref="A29:E29"/>
    <mergeCell ref="F29:I29"/>
    <mergeCell ref="A33:E33"/>
    <mergeCell ref="A34:E34"/>
  </mergeCells>
  <printOptions/>
  <pageMargins left="0.39375" right="0.39375" top="0.5909722222222222" bottom="0.5909722222222222" header="0.5118055555555555" footer="0.511805555555555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32"/>
  <sheetViews>
    <sheetView zoomScalePageLayoutView="0" workbookViewId="0" topLeftCell="A1">
      <pane ySplit="11" topLeftCell="A30" activePane="bottomLeft" state="frozen"/>
      <selection pane="topLeft" activeCell="A1" sqref="A1"/>
      <selection pane="bottomLeft" activeCell="I8" sqref="I8:L9"/>
    </sheetView>
  </sheetViews>
  <sheetFormatPr defaultColWidth="11.57421875" defaultRowHeight="12.75"/>
  <cols>
    <col min="1" max="1" width="3.7109375" style="0" customWidth="1"/>
    <col min="2" max="2" width="14.28125" style="0" customWidth="1"/>
    <col min="3" max="3" width="63.8515625" style="0" customWidth="1"/>
    <col min="4" max="5" width="11.57421875" style="0" customWidth="1"/>
    <col min="6" max="6" width="6.421875" style="0" customWidth="1"/>
    <col min="7" max="7" width="12.8515625" style="0" customWidth="1"/>
    <col min="8" max="8" width="12.00390625" style="0" customWidth="1"/>
    <col min="9" max="11" width="14.28125" style="0" customWidth="1"/>
    <col min="12" max="12" width="11.7109375" style="0" hidden="1" customWidth="1"/>
    <col min="13" max="24" width="11.57421875" style="0" customWidth="1"/>
    <col min="25" max="64" width="12.140625" style="0" hidden="1" customWidth="1"/>
  </cols>
  <sheetData>
    <row r="1" spans="1:12" ht="49.5" customHeight="1">
      <c r="A1" s="101" t="s">
        <v>96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3" ht="12.75" customHeight="1">
      <c r="A2" s="90" t="s">
        <v>1</v>
      </c>
      <c r="B2" s="90"/>
      <c r="C2" s="91" t="s">
        <v>97</v>
      </c>
      <c r="D2" s="116" t="s">
        <v>98</v>
      </c>
      <c r="E2" s="116"/>
      <c r="F2" s="116" t="s">
        <v>99</v>
      </c>
      <c r="G2" s="116"/>
      <c r="H2" s="92" t="s">
        <v>2</v>
      </c>
      <c r="I2" s="102" t="s">
        <v>100</v>
      </c>
      <c r="J2" s="102"/>
      <c r="K2" s="102"/>
      <c r="L2" s="102"/>
      <c r="M2" s="3"/>
    </row>
    <row r="3" spans="1:13" ht="12.75">
      <c r="A3" s="90"/>
      <c r="B3" s="90"/>
      <c r="C3" s="91"/>
      <c r="D3" s="116"/>
      <c r="E3" s="116"/>
      <c r="F3" s="116"/>
      <c r="G3" s="116"/>
      <c r="H3" s="92"/>
      <c r="I3" s="92"/>
      <c r="J3" s="102"/>
      <c r="K3" s="102"/>
      <c r="L3" s="102"/>
      <c r="M3" s="3"/>
    </row>
    <row r="4" spans="1:13" ht="12.75" customHeight="1">
      <c r="A4" s="86" t="s">
        <v>4</v>
      </c>
      <c r="B4" s="86"/>
      <c r="C4" s="73" t="s">
        <v>101</v>
      </c>
      <c r="D4" s="87" t="s">
        <v>8</v>
      </c>
      <c r="E4" s="87"/>
      <c r="F4" s="87" t="s">
        <v>99</v>
      </c>
      <c r="G4" s="87"/>
      <c r="H4" s="73" t="s">
        <v>5</v>
      </c>
      <c r="I4" s="96"/>
      <c r="J4" s="96"/>
      <c r="K4" s="96"/>
      <c r="L4" s="96"/>
      <c r="M4" s="3"/>
    </row>
    <row r="5" spans="1:13" ht="12.75">
      <c r="A5" s="86"/>
      <c r="B5" s="86"/>
      <c r="C5" s="73"/>
      <c r="D5" s="73"/>
      <c r="E5" s="87"/>
      <c r="F5" s="87"/>
      <c r="G5" s="87"/>
      <c r="H5" s="73"/>
      <c r="I5" s="73"/>
      <c r="J5" s="96"/>
      <c r="K5" s="96"/>
      <c r="L5" s="96"/>
      <c r="M5" s="3"/>
    </row>
    <row r="6" spans="1:13" ht="12.75" customHeight="1">
      <c r="A6" s="86" t="s">
        <v>6</v>
      </c>
      <c r="B6" s="86"/>
      <c r="C6" s="73" t="s">
        <v>102</v>
      </c>
      <c r="D6" s="87" t="s">
        <v>9</v>
      </c>
      <c r="E6" s="87"/>
      <c r="F6" s="87" t="s">
        <v>99</v>
      </c>
      <c r="G6" s="87"/>
      <c r="H6" s="73" t="s">
        <v>7</v>
      </c>
      <c r="I6" s="88" t="s">
        <v>103</v>
      </c>
      <c r="J6" s="88"/>
      <c r="K6" s="88"/>
      <c r="L6" s="88"/>
      <c r="M6" s="3"/>
    </row>
    <row r="7" spans="1:13" ht="12.75">
      <c r="A7" s="86"/>
      <c r="B7" s="86"/>
      <c r="C7" s="73"/>
      <c r="D7" s="73"/>
      <c r="E7" s="87"/>
      <c r="F7" s="87"/>
      <c r="G7" s="87"/>
      <c r="H7" s="73"/>
      <c r="I7" s="73"/>
      <c r="J7" s="88"/>
      <c r="K7" s="88"/>
      <c r="L7" s="88"/>
      <c r="M7" s="3"/>
    </row>
    <row r="8" spans="1:13" ht="12.75" customHeight="1">
      <c r="A8" s="97" t="s">
        <v>12</v>
      </c>
      <c r="B8" s="97"/>
      <c r="C8" s="98" t="s">
        <v>99</v>
      </c>
      <c r="D8" s="99" t="s">
        <v>59</v>
      </c>
      <c r="E8" s="99"/>
      <c r="F8" s="99" t="s">
        <v>104</v>
      </c>
      <c r="G8" s="99"/>
      <c r="H8" s="98" t="s">
        <v>13</v>
      </c>
      <c r="I8" s="100"/>
      <c r="J8" s="100"/>
      <c r="K8" s="100"/>
      <c r="L8" s="100"/>
      <c r="M8" s="3"/>
    </row>
    <row r="9" spans="1:13" ht="12.75">
      <c r="A9" s="97"/>
      <c r="B9" s="97"/>
      <c r="C9" s="98"/>
      <c r="D9" s="98"/>
      <c r="E9" s="99"/>
      <c r="F9" s="99"/>
      <c r="G9" s="99"/>
      <c r="H9" s="98"/>
      <c r="I9" s="98"/>
      <c r="J9" s="100"/>
      <c r="K9" s="100"/>
      <c r="L9" s="100"/>
      <c r="M9" s="3"/>
    </row>
    <row r="10" spans="1:64" ht="12.75">
      <c r="A10" s="42" t="s">
        <v>105</v>
      </c>
      <c r="B10" s="43" t="s">
        <v>61</v>
      </c>
      <c r="C10" s="112" t="s">
        <v>62</v>
      </c>
      <c r="D10" s="112"/>
      <c r="E10" s="112"/>
      <c r="F10" s="43" t="s">
        <v>106</v>
      </c>
      <c r="G10" s="44" t="s">
        <v>107</v>
      </c>
      <c r="H10" s="45" t="s">
        <v>108</v>
      </c>
      <c r="I10" s="113" t="s">
        <v>109</v>
      </c>
      <c r="J10" s="113"/>
      <c r="K10" s="113"/>
      <c r="L10" s="46"/>
      <c r="M10" s="20"/>
      <c r="BK10" s="47" t="s">
        <v>110</v>
      </c>
      <c r="BL10" s="48" t="s">
        <v>111</v>
      </c>
    </row>
    <row r="11" spans="1:62" ht="12.75">
      <c r="A11" s="49" t="s">
        <v>99</v>
      </c>
      <c r="B11" s="50" t="s">
        <v>99</v>
      </c>
      <c r="C11" s="114" t="s">
        <v>112</v>
      </c>
      <c r="D11" s="114"/>
      <c r="E11" s="114"/>
      <c r="F11" s="50" t="s">
        <v>99</v>
      </c>
      <c r="G11" s="50" t="s">
        <v>99</v>
      </c>
      <c r="H11" s="51" t="s">
        <v>113</v>
      </c>
      <c r="I11" s="52" t="s">
        <v>114</v>
      </c>
      <c r="J11" s="53" t="s">
        <v>26</v>
      </c>
      <c r="K11" s="54" t="s">
        <v>115</v>
      </c>
      <c r="L11" s="55"/>
      <c r="M11" s="20"/>
      <c r="Z11" s="47" t="s">
        <v>116</v>
      </c>
      <c r="AA11" s="47" t="s">
        <v>117</v>
      </c>
      <c r="AB11" s="47" t="s">
        <v>118</v>
      </c>
      <c r="AC11" s="47" t="s">
        <v>119</v>
      </c>
      <c r="AD11" s="47" t="s">
        <v>120</v>
      </c>
      <c r="AE11" s="47" t="s">
        <v>121</v>
      </c>
      <c r="AF11" s="47" t="s">
        <v>122</v>
      </c>
      <c r="AG11" s="47" t="s">
        <v>123</v>
      </c>
      <c r="AH11" s="47" t="s">
        <v>124</v>
      </c>
      <c r="BH11" s="47" t="s">
        <v>125</v>
      </c>
      <c r="BI11" s="47" t="s">
        <v>126</v>
      </c>
      <c r="BJ11" s="47" t="s">
        <v>127</v>
      </c>
    </row>
    <row r="12" spans="1:47" ht="12.75">
      <c r="A12" s="56"/>
      <c r="B12" s="57" t="s">
        <v>66</v>
      </c>
      <c r="C12" s="115" t="s">
        <v>67</v>
      </c>
      <c r="D12" s="115"/>
      <c r="E12" s="115"/>
      <c r="F12" s="58" t="s">
        <v>99</v>
      </c>
      <c r="G12" s="58" t="s">
        <v>99</v>
      </c>
      <c r="H12" s="58" t="s">
        <v>99</v>
      </c>
      <c r="I12" s="59">
        <f>SUM(I13:I30)</f>
        <v>0</v>
      </c>
      <c r="J12" s="59">
        <f>SUM(J13:J30)</f>
        <v>0</v>
      </c>
      <c r="K12" s="59">
        <f>SUM(K13:K30)</f>
        <v>0</v>
      </c>
      <c r="L12" s="60"/>
      <c r="M12" s="3"/>
      <c r="AI12" s="47"/>
      <c r="AS12" s="61">
        <f>SUM(AJ13:AJ30)</f>
        <v>0</v>
      </c>
      <c r="AT12" s="61">
        <f>SUM(AK13:AK30)</f>
        <v>0</v>
      </c>
      <c r="AU12" s="61">
        <f>SUM(AL13:AL30)</f>
        <v>0</v>
      </c>
    </row>
    <row r="13" spans="1:64" ht="12.75">
      <c r="A13" s="30" t="s">
        <v>128</v>
      </c>
      <c r="B13" s="4" t="s">
        <v>129</v>
      </c>
      <c r="C13" s="87" t="s">
        <v>130</v>
      </c>
      <c r="D13" s="87"/>
      <c r="E13" s="87"/>
      <c r="F13" s="4" t="s">
        <v>131</v>
      </c>
      <c r="G13" s="29">
        <v>163</v>
      </c>
      <c r="H13" s="29">
        <v>0</v>
      </c>
      <c r="I13" s="29">
        <f aca="true" t="shared" si="0" ref="I13:I30">G13*AO13</f>
        <v>0</v>
      </c>
      <c r="J13" s="29">
        <f aca="true" t="shared" si="1" ref="J13:J30">G13*AP13</f>
        <v>0</v>
      </c>
      <c r="K13" s="29">
        <f aca="true" t="shared" si="2" ref="K13:K30">G13*H13</f>
        <v>0</v>
      </c>
      <c r="L13" s="62"/>
      <c r="M13" s="3"/>
      <c r="Z13" s="29">
        <f aca="true" t="shared" si="3" ref="Z13:Z30">IF(AQ13="5",BJ13,0)</f>
        <v>0</v>
      </c>
      <c r="AB13" s="29">
        <f aca="true" t="shared" si="4" ref="AB13:AB30">IF(AQ13="1",BH13,0)</f>
        <v>0</v>
      </c>
      <c r="AC13" s="29">
        <f aca="true" t="shared" si="5" ref="AC13:AC30">IF(AQ13="1",BI13,0)</f>
        <v>0</v>
      </c>
      <c r="AD13" s="29">
        <f aca="true" t="shared" si="6" ref="AD13:AD30">IF(AQ13="7",BH13,0)</f>
        <v>0</v>
      </c>
      <c r="AE13" s="29">
        <f aca="true" t="shared" si="7" ref="AE13:AE30">IF(AQ13="7",BI13,0)</f>
        <v>0</v>
      </c>
      <c r="AF13" s="29">
        <f aca="true" t="shared" si="8" ref="AF13:AF30">IF(AQ13="2",BH13,0)</f>
        <v>0</v>
      </c>
      <c r="AG13" s="29">
        <f aca="true" t="shared" si="9" ref="AG13:AG30">IF(AQ13="2",BI13,0)</f>
        <v>0</v>
      </c>
      <c r="AH13" s="29">
        <f aca="true" t="shared" si="10" ref="AH13:AH30">IF(AQ13="0",BJ13,0)</f>
        <v>0</v>
      </c>
      <c r="AI13" s="47"/>
      <c r="AJ13" s="29">
        <f aca="true" t="shared" si="11" ref="AJ13:AJ30">IF(AN13=0,K13,0)</f>
        <v>0</v>
      </c>
      <c r="AK13" s="29">
        <f aca="true" t="shared" si="12" ref="AK13:AK30">IF(AN13=15,K13,0)</f>
        <v>0</v>
      </c>
      <c r="AL13" s="29">
        <f aca="true" t="shared" si="13" ref="AL13:AL30">IF(AN13=21,K13,0)</f>
        <v>0</v>
      </c>
      <c r="AN13" s="29">
        <v>15</v>
      </c>
      <c r="AO13" s="29">
        <f>H13*0</f>
        <v>0</v>
      </c>
      <c r="AP13" s="29">
        <f>H13*(1-0)</f>
        <v>0</v>
      </c>
      <c r="AQ13" s="63" t="s">
        <v>132</v>
      </c>
      <c r="AV13" s="29">
        <f aca="true" t="shared" si="14" ref="AV13:AV30">AW13+AX13</f>
        <v>0</v>
      </c>
      <c r="AW13" s="29">
        <f aca="true" t="shared" si="15" ref="AW13:AW30">G13*AO13</f>
        <v>0</v>
      </c>
      <c r="AX13" s="29">
        <f aca="true" t="shared" si="16" ref="AX13:AX30">G13*AP13</f>
        <v>0</v>
      </c>
      <c r="AY13" s="63" t="s">
        <v>133</v>
      </c>
      <c r="AZ13" s="63" t="s">
        <v>134</v>
      </c>
      <c r="BA13" s="47" t="s">
        <v>135</v>
      </c>
      <c r="BC13" s="29">
        <f aca="true" t="shared" si="17" ref="BC13:BC30">AW13+AX13</f>
        <v>0</v>
      </c>
      <c r="BD13" s="29">
        <f aca="true" t="shared" si="18" ref="BD13:BD30">H13/(100-BE13)*100</f>
        <v>0</v>
      </c>
      <c r="BE13" s="29">
        <v>0</v>
      </c>
      <c r="BF13" s="29">
        <f>13</f>
        <v>13</v>
      </c>
      <c r="BH13" s="29">
        <f aca="true" t="shared" si="19" ref="BH13:BH30">G13*AO13</f>
        <v>0</v>
      </c>
      <c r="BI13" s="29">
        <f aca="true" t="shared" si="20" ref="BI13:BI30">G13*AP13</f>
        <v>0</v>
      </c>
      <c r="BJ13" s="29">
        <f aca="true" t="shared" si="21" ref="BJ13:BJ30">G13*H13</f>
        <v>0</v>
      </c>
      <c r="BK13" s="29" t="s">
        <v>136</v>
      </c>
      <c r="BL13" s="29">
        <v>721</v>
      </c>
    </row>
    <row r="14" spans="1:64" ht="12.75">
      <c r="A14" s="30" t="s">
        <v>137</v>
      </c>
      <c r="B14" s="4" t="s">
        <v>138</v>
      </c>
      <c r="C14" s="87" t="s">
        <v>139</v>
      </c>
      <c r="D14" s="87"/>
      <c r="E14" s="87"/>
      <c r="F14" s="4" t="s">
        <v>140</v>
      </c>
      <c r="G14" s="29">
        <v>10</v>
      </c>
      <c r="H14" s="29">
        <v>0</v>
      </c>
      <c r="I14" s="29">
        <f t="shared" si="0"/>
        <v>0</v>
      </c>
      <c r="J14" s="29">
        <f t="shared" si="1"/>
        <v>0</v>
      </c>
      <c r="K14" s="29">
        <f t="shared" si="2"/>
        <v>0</v>
      </c>
      <c r="L14" s="62"/>
      <c r="M14" s="3"/>
      <c r="Z14" s="29">
        <f t="shared" si="3"/>
        <v>0</v>
      </c>
      <c r="AB14" s="29">
        <f t="shared" si="4"/>
        <v>0</v>
      </c>
      <c r="AC14" s="29">
        <f t="shared" si="5"/>
        <v>0</v>
      </c>
      <c r="AD14" s="29">
        <f t="shared" si="6"/>
        <v>0</v>
      </c>
      <c r="AE14" s="29">
        <f t="shared" si="7"/>
        <v>0</v>
      </c>
      <c r="AF14" s="29">
        <f t="shared" si="8"/>
        <v>0</v>
      </c>
      <c r="AG14" s="29">
        <f t="shared" si="9"/>
        <v>0</v>
      </c>
      <c r="AH14" s="29">
        <f t="shared" si="10"/>
        <v>0</v>
      </c>
      <c r="AI14" s="47"/>
      <c r="AJ14" s="29">
        <f t="shared" si="11"/>
        <v>0</v>
      </c>
      <c r="AK14" s="29">
        <f t="shared" si="12"/>
        <v>0</v>
      </c>
      <c r="AL14" s="29">
        <f t="shared" si="13"/>
        <v>0</v>
      </c>
      <c r="AN14" s="29">
        <v>15</v>
      </c>
      <c r="AO14" s="29">
        <f>H14*0.803647604327666</f>
        <v>0</v>
      </c>
      <c r="AP14" s="29">
        <f>H14*(1-0.803647604327666)</f>
        <v>0</v>
      </c>
      <c r="AQ14" s="63" t="s">
        <v>132</v>
      </c>
      <c r="AV14" s="29">
        <f t="shared" si="14"/>
        <v>0</v>
      </c>
      <c r="AW14" s="29">
        <f t="shared" si="15"/>
        <v>0</v>
      </c>
      <c r="AX14" s="29">
        <f t="shared" si="16"/>
        <v>0</v>
      </c>
      <c r="AY14" s="63" t="s">
        <v>133</v>
      </c>
      <c r="AZ14" s="63" t="s">
        <v>134</v>
      </c>
      <c r="BA14" s="47" t="s">
        <v>135</v>
      </c>
      <c r="BC14" s="29">
        <f t="shared" si="17"/>
        <v>0</v>
      </c>
      <c r="BD14" s="29">
        <f t="shared" si="18"/>
        <v>0</v>
      </c>
      <c r="BE14" s="29">
        <v>0</v>
      </c>
      <c r="BF14" s="29">
        <f>14</f>
        <v>14</v>
      </c>
      <c r="BH14" s="29">
        <f t="shared" si="19"/>
        <v>0</v>
      </c>
      <c r="BI14" s="29">
        <f t="shared" si="20"/>
        <v>0</v>
      </c>
      <c r="BJ14" s="29">
        <f t="shared" si="21"/>
        <v>0</v>
      </c>
      <c r="BK14" s="29" t="s">
        <v>136</v>
      </c>
      <c r="BL14" s="29">
        <v>721</v>
      </c>
    </row>
    <row r="15" spans="1:64" ht="12.75">
      <c r="A15" s="30" t="s">
        <v>141</v>
      </c>
      <c r="B15" s="4" t="s">
        <v>138</v>
      </c>
      <c r="C15" s="87" t="s">
        <v>142</v>
      </c>
      <c r="D15" s="87"/>
      <c r="E15" s="87"/>
      <c r="F15" s="4" t="s">
        <v>140</v>
      </c>
      <c r="G15" s="29">
        <v>10</v>
      </c>
      <c r="H15" s="29">
        <v>0</v>
      </c>
      <c r="I15" s="29">
        <f t="shared" si="0"/>
        <v>0</v>
      </c>
      <c r="J15" s="29">
        <f t="shared" si="1"/>
        <v>0</v>
      </c>
      <c r="K15" s="29">
        <f t="shared" si="2"/>
        <v>0</v>
      </c>
      <c r="L15" s="62"/>
      <c r="M15" s="3"/>
      <c r="Z15" s="29">
        <f t="shared" si="3"/>
        <v>0</v>
      </c>
      <c r="AB15" s="29">
        <f t="shared" si="4"/>
        <v>0</v>
      </c>
      <c r="AC15" s="29">
        <f t="shared" si="5"/>
        <v>0</v>
      </c>
      <c r="AD15" s="29">
        <f t="shared" si="6"/>
        <v>0</v>
      </c>
      <c r="AE15" s="29">
        <f t="shared" si="7"/>
        <v>0</v>
      </c>
      <c r="AF15" s="29">
        <f t="shared" si="8"/>
        <v>0</v>
      </c>
      <c r="AG15" s="29">
        <f t="shared" si="9"/>
        <v>0</v>
      </c>
      <c r="AH15" s="29">
        <f t="shared" si="10"/>
        <v>0</v>
      </c>
      <c r="AI15" s="47"/>
      <c r="AJ15" s="29">
        <f t="shared" si="11"/>
        <v>0</v>
      </c>
      <c r="AK15" s="29">
        <f t="shared" si="12"/>
        <v>0</v>
      </c>
      <c r="AL15" s="29">
        <f t="shared" si="13"/>
        <v>0</v>
      </c>
      <c r="AN15" s="29">
        <v>15</v>
      </c>
      <c r="AO15" s="29">
        <f>H15*0.803647604327666</f>
        <v>0</v>
      </c>
      <c r="AP15" s="29">
        <f>H15*(1-0.803647604327666)</f>
        <v>0</v>
      </c>
      <c r="AQ15" s="63" t="s">
        <v>132</v>
      </c>
      <c r="AV15" s="29">
        <f t="shared" si="14"/>
        <v>0</v>
      </c>
      <c r="AW15" s="29">
        <f t="shared" si="15"/>
        <v>0</v>
      </c>
      <c r="AX15" s="29">
        <f t="shared" si="16"/>
        <v>0</v>
      </c>
      <c r="AY15" s="63" t="s">
        <v>133</v>
      </c>
      <c r="AZ15" s="63" t="s">
        <v>134</v>
      </c>
      <c r="BA15" s="47" t="s">
        <v>135</v>
      </c>
      <c r="BC15" s="29">
        <f t="shared" si="17"/>
        <v>0</v>
      </c>
      <c r="BD15" s="29">
        <f t="shared" si="18"/>
        <v>0</v>
      </c>
      <c r="BE15" s="29">
        <v>0</v>
      </c>
      <c r="BF15" s="29">
        <f>15</f>
        <v>15</v>
      </c>
      <c r="BH15" s="29">
        <f t="shared" si="19"/>
        <v>0</v>
      </c>
      <c r="BI15" s="29">
        <f t="shared" si="20"/>
        <v>0</v>
      </c>
      <c r="BJ15" s="29">
        <f t="shared" si="21"/>
        <v>0</v>
      </c>
      <c r="BK15" s="29" t="s">
        <v>136</v>
      </c>
      <c r="BL15" s="29">
        <v>721</v>
      </c>
    </row>
    <row r="16" spans="1:64" ht="12.75">
      <c r="A16" s="30" t="s">
        <v>143</v>
      </c>
      <c r="B16" s="4" t="s">
        <v>144</v>
      </c>
      <c r="C16" s="87" t="s">
        <v>145</v>
      </c>
      <c r="D16" s="87"/>
      <c r="E16" s="87"/>
      <c r="F16" s="4" t="s">
        <v>140</v>
      </c>
      <c r="G16" s="29">
        <v>30</v>
      </c>
      <c r="H16" s="29">
        <v>0</v>
      </c>
      <c r="I16" s="29">
        <f t="shared" si="0"/>
        <v>0</v>
      </c>
      <c r="J16" s="29">
        <f t="shared" si="1"/>
        <v>0</v>
      </c>
      <c r="K16" s="29">
        <f t="shared" si="2"/>
        <v>0</v>
      </c>
      <c r="L16" s="62"/>
      <c r="M16" s="3"/>
      <c r="Z16" s="29">
        <f t="shared" si="3"/>
        <v>0</v>
      </c>
      <c r="AB16" s="29">
        <f t="shared" si="4"/>
        <v>0</v>
      </c>
      <c r="AC16" s="29">
        <f t="shared" si="5"/>
        <v>0</v>
      </c>
      <c r="AD16" s="29">
        <f t="shared" si="6"/>
        <v>0</v>
      </c>
      <c r="AE16" s="29">
        <f t="shared" si="7"/>
        <v>0</v>
      </c>
      <c r="AF16" s="29">
        <f t="shared" si="8"/>
        <v>0</v>
      </c>
      <c r="AG16" s="29">
        <f t="shared" si="9"/>
        <v>0</v>
      </c>
      <c r="AH16" s="29">
        <f t="shared" si="10"/>
        <v>0</v>
      </c>
      <c r="AI16" s="47"/>
      <c r="AJ16" s="29">
        <f t="shared" si="11"/>
        <v>0</v>
      </c>
      <c r="AK16" s="29">
        <f t="shared" si="12"/>
        <v>0</v>
      </c>
      <c r="AL16" s="29">
        <f t="shared" si="13"/>
        <v>0</v>
      </c>
      <c r="AN16" s="29">
        <v>15</v>
      </c>
      <c r="AO16" s="29">
        <f>H16*0.750417633410673</f>
        <v>0</v>
      </c>
      <c r="AP16" s="29">
        <f>H16*(1-0.750417633410673)</f>
        <v>0</v>
      </c>
      <c r="AQ16" s="63" t="s">
        <v>132</v>
      </c>
      <c r="AV16" s="29">
        <f t="shared" si="14"/>
        <v>0</v>
      </c>
      <c r="AW16" s="29">
        <f t="shared" si="15"/>
        <v>0</v>
      </c>
      <c r="AX16" s="29">
        <f t="shared" si="16"/>
        <v>0</v>
      </c>
      <c r="AY16" s="63" t="s">
        <v>133</v>
      </c>
      <c r="AZ16" s="63" t="s">
        <v>134</v>
      </c>
      <c r="BA16" s="47" t="s">
        <v>135</v>
      </c>
      <c r="BC16" s="29">
        <f t="shared" si="17"/>
        <v>0</v>
      </c>
      <c r="BD16" s="29">
        <f t="shared" si="18"/>
        <v>0</v>
      </c>
      <c r="BE16" s="29">
        <v>0</v>
      </c>
      <c r="BF16" s="29">
        <f>16</f>
        <v>16</v>
      </c>
      <c r="BH16" s="29">
        <f t="shared" si="19"/>
        <v>0</v>
      </c>
      <c r="BI16" s="29">
        <f t="shared" si="20"/>
        <v>0</v>
      </c>
      <c r="BJ16" s="29">
        <f t="shared" si="21"/>
        <v>0</v>
      </c>
      <c r="BK16" s="29" t="s">
        <v>136</v>
      </c>
      <c r="BL16" s="29">
        <v>721</v>
      </c>
    </row>
    <row r="17" spans="1:64" ht="12.75">
      <c r="A17" s="30" t="s">
        <v>146</v>
      </c>
      <c r="B17" s="4" t="s">
        <v>147</v>
      </c>
      <c r="C17" s="87" t="s">
        <v>148</v>
      </c>
      <c r="D17" s="87"/>
      <c r="E17" s="87"/>
      <c r="F17" s="4" t="s">
        <v>131</v>
      </c>
      <c r="G17" s="29">
        <v>15</v>
      </c>
      <c r="H17" s="29">
        <v>0</v>
      </c>
      <c r="I17" s="29">
        <f t="shared" si="0"/>
        <v>0</v>
      </c>
      <c r="J17" s="29">
        <f t="shared" si="1"/>
        <v>0</v>
      </c>
      <c r="K17" s="29">
        <f t="shared" si="2"/>
        <v>0</v>
      </c>
      <c r="L17" s="62"/>
      <c r="M17" s="3"/>
      <c r="Z17" s="29">
        <f t="shared" si="3"/>
        <v>0</v>
      </c>
      <c r="AB17" s="29">
        <f t="shared" si="4"/>
        <v>0</v>
      </c>
      <c r="AC17" s="29">
        <f t="shared" si="5"/>
        <v>0</v>
      </c>
      <c r="AD17" s="29">
        <f t="shared" si="6"/>
        <v>0</v>
      </c>
      <c r="AE17" s="29">
        <f t="shared" si="7"/>
        <v>0</v>
      </c>
      <c r="AF17" s="29">
        <f t="shared" si="8"/>
        <v>0</v>
      </c>
      <c r="AG17" s="29">
        <f t="shared" si="9"/>
        <v>0</v>
      </c>
      <c r="AH17" s="29">
        <f t="shared" si="10"/>
        <v>0</v>
      </c>
      <c r="AI17" s="47"/>
      <c r="AJ17" s="29">
        <f t="shared" si="11"/>
        <v>0</v>
      </c>
      <c r="AK17" s="29">
        <f t="shared" si="12"/>
        <v>0</v>
      </c>
      <c r="AL17" s="29">
        <f t="shared" si="13"/>
        <v>0</v>
      </c>
      <c r="AN17" s="29">
        <v>15</v>
      </c>
      <c r="AO17" s="29">
        <f>H17*0.355827981337966</f>
        <v>0</v>
      </c>
      <c r="AP17" s="29">
        <f>H17*(1-0.355827981337966)</f>
        <v>0</v>
      </c>
      <c r="AQ17" s="63" t="s">
        <v>132</v>
      </c>
      <c r="AV17" s="29">
        <f t="shared" si="14"/>
        <v>0</v>
      </c>
      <c r="AW17" s="29">
        <f t="shared" si="15"/>
        <v>0</v>
      </c>
      <c r="AX17" s="29">
        <f t="shared" si="16"/>
        <v>0</v>
      </c>
      <c r="AY17" s="63" t="s">
        <v>133</v>
      </c>
      <c r="AZ17" s="63" t="s">
        <v>134</v>
      </c>
      <c r="BA17" s="47" t="s">
        <v>135</v>
      </c>
      <c r="BC17" s="29">
        <f t="shared" si="17"/>
        <v>0</v>
      </c>
      <c r="BD17" s="29">
        <f t="shared" si="18"/>
        <v>0</v>
      </c>
      <c r="BE17" s="29">
        <v>0</v>
      </c>
      <c r="BF17" s="29">
        <f>17</f>
        <v>17</v>
      </c>
      <c r="BH17" s="29">
        <f t="shared" si="19"/>
        <v>0</v>
      </c>
      <c r="BI17" s="29">
        <f t="shared" si="20"/>
        <v>0</v>
      </c>
      <c r="BJ17" s="29">
        <f t="shared" si="21"/>
        <v>0</v>
      </c>
      <c r="BK17" s="29" t="s">
        <v>136</v>
      </c>
      <c r="BL17" s="29">
        <v>721</v>
      </c>
    </row>
    <row r="18" spans="1:64" ht="12.75">
      <c r="A18" s="30" t="s">
        <v>149</v>
      </c>
      <c r="B18" s="4" t="s">
        <v>150</v>
      </c>
      <c r="C18" s="87" t="s">
        <v>151</v>
      </c>
      <c r="D18" s="87"/>
      <c r="E18" s="87"/>
      <c r="F18" s="4" t="s">
        <v>131</v>
      </c>
      <c r="G18" s="29">
        <v>15</v>
      </c>
      <c r="H18" s="29">
        <v>0</v>
      </c>
      <c r="I18" s="29">
        <f t="shared" si="0"/>
        <v>0</v>
      </c>
      <c r="J18" s="29">
        <f t="shared" si="1"/>
        <v>0</v>
      </c>
      <c r="K18" s="29">
        <f t="shared" si="2"/>
        <v>0</v>
      </c>
      <c r="L18" s="62"/>
      <c r="M18" s="3"/>
      <c r="Z18" s="29">
        <f t="shared" si="3"/>
        <v>0</v>
      </c>
      <c r="AB18" s="29">
        <f t="shared" si="4"/>
        <v>0</v>
      </c>
      <c r="AC18" s="29">
        <f t="shared" si="5"/>
        <v>0</v>
      </c>
      <c r="AD18" s="29">
        <f t="shared" si="6"/>
        <v>0</v>
      </c>
      <c r="AE18" s="29">
        <f t="shared" si="7"/>
        <v>0</v>
      </c>
      <c r="AF18" s="29">
        <f t="shared" si="8"/>
        <v>0</v>
      </c>
      <c r="AG18" s="29">
        <f t="shared" si="9"/>
        <v>0</v>
      </c>
      <c r="AH18" s="29">
        <f t="shared" si="10"/>
        <v>0</v>
      </c>
      <c r="AI18" s="47"/>
      <c r="AJ18" s="29">
        <f t="shared" si="11"/>
        <v>0</v>
      </c>
      <c r="AK18" s="29">
        <f t="shared" si="12"/>
        <v>0</v>
      </c>
      <c r="AL18" s="29">
        <f t="shared" si="13"/>
        <v>0</v>
      </c>
      <c r="AN18" s="29">
        <v>15</v>
      </c>
      <c r="AO18" s="29">
        <f>H18*0.311963855421687</f>
        <v>0</v>
      </c>
      <c r="AP18" s="29">
        <f>H18*(1-0.311963855421687)</f>
        <v>0</v>
      </c>
      <c r="AQ18" s="63" t="s">
        <v>132</v>
      </c>
      <c r="AV18" s="29">
        <f t="shared" si="14"/>
        <v>0</v>
      </c>
      <c r="AW18" s="29">
        <f t="shared" si="15"/>
        <v>0</v>
      </c>
      <c r="AX18" s="29">
        <f t="shared" si="16"/>
        <v>0</v>
      </c>
      <c r="AY18" s="63" t="s">
        <v>133</v>
      </c>
      <c r="AZ18" s="63" t="s">
        <v>134</v>
      </c>
      <c r="BA18" s="47" t="s">
        <v>135</v>
      </c>
      <c r="BC18" s="29">
        <f t="shared" si="17"/>
        <v>0</v>
      </c>
      <c r="BD18" s="29">
        <f t="shared" si="18"/>
        <v>0</v>
      </c>
      <c r="BE18" s="29">
        <v>0</v>
      </c>
      <c r="BF18" s="29">
        <f>18</f>
        <v>18</v>
      </c>
      <c r="BH18" s="29">
        <f t="shared" si="19"/>
        <v>0</v>
      </c>
      <c r="BI18" s="29">
        <f t="shared" si="20"/>
        <v>0</v>
      </c>
      <c r="BJ18" s="29">
        <f t="shared" si="21"/>
        <v>0</v>
      </c>
      <c r="BK18" s="29" t="s">
        <v>136</v>
      </c>
      <c r="BL18" s="29">
        <v>721</v>
      </c>
    </row>
    <row r="19" spans="1:64" ht="12.75">
      <c r="A19" s="30" t="s">
        <v>132</v>
      </c>
      <c r="B19" s="4" t="s">
        <v>152</v>
      </c>
      <c r="C19" s="87" t="s">
        <v>153</v>
      </c>
      <c r="D19" s="87"/>
      <c r="E19" s="87"/>
      <c r="F19" s="4" t="s">
        <v>131</v>
      </c>
      <c r="G19" s="29">
        <v>163</v>
      </c>
      <c r="H19" s="29">
        <v>0</v>
      </c>
      <c r="I19" s="29">
        <f t="shared" si="0"/>
        <v>0</v>
      </c>
      <c r="J19" s="29">
        <f t="shared" si="1"/>
        <v>0</v>
      </c>
      <c r="K19" s="29">
        <f t="shared" si="2"/>
        <v>0</v>
      </c>
      <c r="L19" s="62"/>
      <c r="M19" s="3"/>
      <c r="Z19" s="29">
        <f t="shared" si="3"/>
        <v>0</v>
      </c>
      <c r="AB19" s="29">
        <f t="shared" si="4"/>
        <v>0</v>
      </c>
      <c r="AC19" s="29">
        <f t="shared" si="5"/>
        <v>0</v>
      </c>
      <c r="AD19" s="29">
        <f t="shared" si="6"/>
        <v>0</v>
      </c>
      <c r="AE19" s="29">
        <f t="shared" si="7"/>
        <v>0</v>
      </c>
      <c r="AF19" s="29">
        <f t="shared" si="8"/>
        <v>0</v>
      </c>
      <c r="AG19" s="29">
        <f t="shared" si="9"/>
        <v>0</v>
      </c>
      <c r="AH19" s="29">
        <f t="shared" si="10"/>
        <v>0</v>
      </c>
      <c r="AI19" s="47"/>
      <c r="AJ19" s="29">
        <f t="shared" si="11"/>
        <v>0</v>
      </c>
      <c r="AK19" s="29">
        <f t="shared" si="12"/>
        <v>0</v>
      </c>
      <c r="AL19" s="29">
        <f t="shared" si="13"/>
        <v>0</v>
      </c>
      <c r="AN19" s="29">
        <v>15</v>
      </c>
      <c r="AO19" s="29">
        <f>H19*0.407782874617737</f>
        <v>0</v>
      </c>
      <c r="AP19" s="29">
        <f>H19*(1-0.407782874617737)</f>
        <v>0</v>
      </c>
      <c r="AQ19" s="63" t="s">
        <v>132</v>
      </c>
      <c r="AV19" s="29">
        <f t="shared" si="14"/>
        <v>0</v>
      </c>
      <c r="AW19" s="29">
        <f t="shared" si="15"/>
        <v>0</v>
      </c>
      <c r="AX19" s="29">
        <f t="shared" si="16"/>
        <v>0</v>
      </c>
      <c r="AY19" s="63" t="s">
        <v>133</v>
      </c>
      <c r="AZ19" s="63" t="s">
        <v>134</v>
      </c>
      <c r="BA19" s="47" t="s">
        <v>135</v>
      </c>
      <c r="BC19" s="29">
        <f t="shared" si="17"/>
        <v>0</v>
      </c>
      <c r="BD19" s="29">
        <f t="shared" si="18"/>
        <v>0</v>
      </c>
      <c r="BE19" s="29">
        <v>0</v>
      </c>
      <c r="BF19" s="29">
        <f>19</f>
        <v>19</v>
      </c>
      <c r="BH19" s="29">
        <f t="shared" si="19"/>
        <v>0</v>
      </c>
      <c r="BI19" s="29">
        <f t="shared" si="20"/>
        <v>0</v>
      </c>
      <c r="BJ19" s="29">
        <f t="shared" si="21"/>
        <v>0</v>
      </c>
      <c r="BK19" s="29" t="s">
        <v>136</v>
      </c>
      <c r="BL19" s="29">
        <v>721</v>
      </c>
    </row>
    <row r="20" spans="1:64" ht="12.75">
      <c r="A20" s="30" t="s">
        <v>154</v>
      </c>
      <c r="B20" s="4" t="s">
        <v>155</v>
      </c>
      <c r="C20" s="87" t="s">
        <v>156</v>
      </c>
      <c r="D20" s="87"/>
      <c r="E20" s="87"/>
      <c r="F20" s="4" t="s">
        <v>140</v>
      </c>
      <c r="G20" s="29">
        <v>30</v>
      </c>
      <c r="H20" s="29">
        <v>0</v>
      </c>
      <c r="I20" s="29">
        <f t="shared" si="0"/>
        <v>0</v>
      </c>
      <c r="J20" s="29">
        <f t="shared" si="1"/>
        <v>0</v>
      </c>
      <c r="K20" s="29">
        <f t="shared" si="2"/>
        <v>0</v>
      </c>
      <c r="L20" s="62"/>
      <c r="M20" s="3"/>
      <c r="Z20" s="29">
        <f t="shared" si="3"/>
        <v>0</v>
      </c>
      <c r="AB20" s="29">
        <f t="shared" si="4"/>
        <v>0</v>
      </c>
      <c r="AC20" s="29">
        <f t="shared" si="5"/>
        <v>0</v>
      </c>
      <c r="AD20" s="29">
        <f t="shared" si="6"/>
        <v>0</v>
      </c>
      <c r="AE20" s="29">
        <f t="shared" si="7"/>
        <v>0</v>
      </c>
      <c r="AF20" s="29">
        <f t="shared" si="8"/>
        <v>0</v>
      </c>
      <c r="AG20" s="29">
        <f t="shared" si="9"/>
        <v>0</v>
      </c>
      <c r="AH20" s="29">
        <f t="shared" si="10"/>
        <v>0</v>
      </c>
      <c r="AI20" s="47"/>
      <c r="AJ20" s="29">
        <f t="shared" si="11"/>
        <v>0</v>
      </c>
      <c r="AK20" s="29">
        <f t="shared" si="12"/>
        <v>0</v>
      </c>
      <c r="AL20" s="29">
        <f t="shared" si="13"/>
        <v>0</v>
      </c>
      <c r="AN20" s="29">
        <v>15</v>
      </c>
      <c r="AO20" s="29">
        <f>H20*0</f>
        <v>0</v>
      </c>
      <c r="AP20" s="29">
        <f>H20*(1-0)</f>
        <v>0</v>
      </c>
      <c r="AQ20" s="63" t="s">
        <v>132</v>
      </c>
      <c r="AV20" s="29">
        <f t="shared" si="14"/>
        <v>0</v>
      </c>
      <c r="AW20" s="29">
        <f t="shared" si="15"/>
        <v>0</v>
      </c>
      <c r="AX20" s="29">
        <f t="shared" si="16"/>
        <v>0</v>
      </c>
      <c r="AY20" s="63" t="s">
        <v>133</v>
      </c>
      <c r="AZ20" s="63" t="s">
        <v>134</v>
      </c>
      <c r="BA20" s="47" t="s">
        <v>135</v>
      </c>
      <c r="BC20" s="29">
        <f t="shared" si="17"/>
        <v>0</v>
      </c>
      <c r="BD20" s="29">
        <f t="shared" si="18"/>
        <v>0</v>
      </c>
      <c r="BE20" s="29">
        <v>0</v>
      </c>
      <c r="BF20" s="29">
        <f>20</f>
        <v>20</v>
      </c>
      <c r="BH20" s="29">
        <f t="shared" si="19"/>
        <v>0</v>
      </c>
      <c r="BI20" s="29">
        <f t="shared" si="20"/>
        <v>0</v>
      </c>
      <c r="BJ20" s="29">
        <f t="shared" si="21"/>
        <v>0</v>
      </c>
      <c r="BK20" s="29" t="s">
        <v>136</v>
      </c>
      <c r="BL20" s="29">
        <v>721</v>
      </c>
    </row>
    <row r="21" spans="1:64" ht="12.75">
      <c r="A21" s="30" t="s">
        <v>157</v>
      </c>
      <c r="B21" s="4" t="s">
        <v>158</v>
      </c>
      <c r="C21" s="87" t="s">
        <v>159</v>
      </c>
      <c r="D21" s="87"/>
      <c r="E21" s="87"/>
      <c r="F21" s="4" t="s">
        <v>140</v>
      </c>
      <c r="G21" s="29">
        <v>30</v>
      </c>
      <c r="H21" s="29">
        <v>0</v>
      </c>
      <c r="I21" s="29">
        <f t="shared" si="0"/>
        <v>0</v>
      </c>
      <c r="J21" s="29">
        <f t="shared" si="1"/>
        <v>0</v>
      </c>
      <c r="K21" s="29">
        <f t="shared" si="2"/>
        <v>0</v>
      </c>
      <c r="L21" s="62"/>
      <c r="M21" s="3"/>
      <c r="Z21" s="29">
        <f t="shared" si="3"/>
        <v>0</v>
      </c>
      <c r="AB21" s="29">
        <f t="shared" si="4"/>
        <v>0</v>
      </c>
      <c r="AC21" s="29">
        <f t="shared" si="5"/>
        <v>0</v>
      </c>
      <c r="AD21" s="29">
        <f t="shared" si="6"/>
        <v>0</v>
      </c>
      <c r="AE21" s="29">
        <f t="shared" si="7"/>
        <v>0</v>
      </c>
      <c r="AF21" s="29">
        <f t="shared" si="8"/>
        <v>0</v>
      </c>
      <c r="AG21" s="29">
        <f t="shared" si="9"/>
        <v>0</v>
      </c>
      <c r="AH21" s="29">
        <f t="shared" si="10"/>
        <v>0</v>
      </c>
      <c r="AI21" s="47"/>
      <c r="AJ21" s="29">
        <f t="shared" si="11"/>
        <v>0</v>
      </c>
      <c r="AK21" s="29">
        <f t="shared" si="12"/>
        <v>0</v>
      </c>
      <c r="AL21" s="29">
        <f t="shared" si="13"/>
        <v>0</v>
      </c>
      <c r="AN21" s="29">
        <v>15</v>
      </c>
      <c r="AO21" s="29">
        <f>H21*0</f>
        <v>0</v>
      </c>
      <c r="AP21" s="29">
        <f>H21*(1-0)</f>
        <v>0</v>
      </c>
      <c r="AQ21" s="63" t="s">
        <v>132</v>
      </c>
      <c r="AV21" s="29">
        <f t="shared" si="14"/>
        <v>0</v>
      </c>
      <c r="AW21" s="29">
        <f t="shared" si="15"/>
        <v>0</v>
      </c>
      <c r="AX21" s="29">
        <f t="shared" si="16"/>
        <v>0</v>
      </c>
      <c r="AY21" s="63" t="s">
        <v>133</v>
      </c>
      <c r="AZ21" s="63" t="s">
        <v>134</v>
      </c>
      <c r="BA21" s="47" t="s">
        <v>135</v>
      </c>
      <c r="BC21" s="29">
        <f t="shared" si="17"/>
        <v>0</v>
      </c>
      <c r="BD21" s="29">
        <f t="shared" si="18"/>
        <v>0</v>
      </c>
      <c r="BE21" s="29">
        <v>0</v>
      </c>
      <c r="BF21" s="29">
        <f>21</f>
        <v>21</v>
      </c>
      <c r="BH21" s="29">
        <f t="shared" si="19"/>
        <v>0</v>
      </c>
      <c r="BI21" s="29">
        <f t="shared" si="20"/>
        <v>0</v>
      </c>
      <c r="BJ21" s="29">
        <f t="shared" si="21"/>
        <v>0</v>
      </c>
      <c r="BK21" s="29" t="s">
        <v>136</v>
      </c>
      <c r="BL21" s="29">
        <v>721</v>
      </c>
    </row>
    <row r="22" spans="1:64" ht="12.75">
      <c r="A22" s="30" t="s">
        <v>160</v>
      </c>
      <c r="B22" s="4" t="s">
        <v>161</v>
      </c>
      <c r="C22" s="87" t="s">
        <v>162</v>
      </c>
      <c r="D22" s="87"/>
      <c r="E22" s="87"/>
      <c r="F22" s="4" t="s">
        <v>140</v>
      </c>
      <c r="G22" s="29">
        <v>9</v>
      </c>
      <c r="H22" s="29">
        <v>0</v>
      </c>
      <c r="I22" s="29">
        <f t="shared" si="0"/>
        <v>0</v>
      </c>
      <c r="J22" s="29">
        <f t="shared" si="1"/>
        <v>0</v>
      </c>
      <c r="K22" s="29">
        <f t="shared" si="2"/>
        <v>0</v>
      </c>
      <c r="L22" s="62"/>
      <c r="M22" s="3"/>
      <c r="Z22" s="29">
        <f t="shared" si="3"/>
        <v>0</v>
      </c>
      <c r="AB22" s="29">
        <f t="shared" si="4"/>
        <v>0</v>
      </c>
      <c r="AC22" s="29">
        <f t="shared" si="5"/>
        <v>0</v>
      </c>
      <c r="AD22" s="29">
        <f t="shared" si="6"/>
        <v>0</v>
      </c>
      <c r="AE22" s="29">
        <f t="shared" si="7"/>
        <v>0</v>
      </c>
      <c r="AF22" s="29">
        <f t="shared" si="8"/>
        <v>0</v>
      </c>
      <c r="AG22" s="29">
        <f t="shared" si="9"/>
        <v>0</v>
      </c>
      <c r="AH22" s="29">
        <f t="shared" si="10"/>
        <v>0</v>
      </c>
      <c r="AI22" s="47"/>
      <c r="AJ22" s="29">
        <f t="shared" si="11"/>
        <v>0</v>
      </c>
      <c r="AK22" s="29">
        <f t="shared" si="12"/>
        <v>0</v>
      </c>
      <c r="AL22" s="29">
        <f t="shared" si="13"/>
        <v>0</v>
      </c>
      <c r="AN22" s="29">
        <v>15</v>
      </c>
      <c r="AO22" s="29">
        <f>H22*1</f>
        <v>0</v>
      </c>
      <c r="AP22" s="29">
        <f>H22*(1-1)</f>
        <v>0</v>
      </c>
      <c r="AQ22" s="63" t="s">
        <v>132</v>
      </c>
      <c r="AV22" s="29">
        <f t="shared" si="14"/>
        <v>0</v>
      </c>
      <c r="AW22" s="29">
        <f t="shared" si="15"/>
        <v>0</v>
      </c>
      <c r="AX22" s="29">
        <f t="shared" si="16"/>
        <v>0</v>
      </c>
      <c r="AY22" s="63" t="s">
        <v>133</v>
      </c>
      <c r="AZ22" s="63" t="s">
        <v>134</v>
      </c>
      <c r="BA22" s="47" t="s">
        <v>135</v>
      </c>
      <c r="BC22" s="29">
        <f t="shared" si="17"/>
        <v>0</v>
      </c>
      <c r="BD22" s="29">
        <f t="shared" si="18"/>
        <v>0</v>
      </c>
      <c r="BE22" s="29">
        <v>0</v>
      </c>
      <c r="BF22" s="29">
        <f>22</f>
        <v>22</v>
      </c>
      <c r="BH22" s="29">
        <f t="shared" si="19"/>
        <v>0</v>
      </c>
      <c r="BI22" s="29">
        <f t="shared" si="20"/>
        <v>0</v>
      </c>
      <c r="BJ22" s="29">
        <f t="shared" si="21"/>
        <v>0</v>
      </c>
      <c r="BK22" s="29" t="s">
        <v>163</v>
      </c>
      <c r="BL22" s="29">
        <v>721</v>
      </c>
    </row>
    <row r="23" spans="1:64" ht="12.75">
      <c r="A23" s="30" t="s">
        <v>164</v>
      </c>
      <c r="B23" s="4" t="s">
        <v>165</v>
      </c>
      <c r="C23" s="87" t="s">
        <v>166</v>
      </c>
      <c r="D23" s="87"/>
      <c r="E23" s="87"/>
      <c r="F23" s="4" t="s">
        <v>140</v>
      </c>
      <c r="G23" s="29">
        <v>30</v>
      </c>
      <c r="H23" s="29">
        <v>0</v>
      </c>
      <c r="I23" s="29">
        <f t="shared" si="0"/>
        <v>0</v>
      </c>
      <c r="J23" s="29">
        <f t="shared" si="1"/>
        <v>0</v>
      </c>
      <c r="K23" s="29">
        <f t="shared" si="2"/>
        <v>0</v>
      </c>
      <c r="L23" s="62"/>
      <c r="M23" s="3"/>
      <c r="Z23" s="29">
        <f t="shared" si="3"/>
        <v>0</v>
      </c>
      <c r="AB23" s="29">
        <f t="shared" si="4"/>
        <v>0</v>
      </c>
      <c r="AC23" s="29">
        <f t="shared" si="5"/>
        <v>0</v>
      </c>
      <c r="AD23" s="29">
        <f t="shared" si="6"/>
        <v>0</v>
      </c>
      <c r="AE23" s="29">
        <f t="shared" si="7"/>
        <v>0</v>
      </c>
      <c r="AF23" s="29">
        <f t="shared" si="8"/>
        <v>0</v>
      </c>
      <c r="AG23" s="29">
        <f t="shared" si="9"/>
        <v>0</v>
      </c>
      <c r="AH23" s="29">
        <f t="shared" si="10"/>
        <v>0</v>
      </c>
      <c r="AI23" s="47"/>
      <c r="AJ23" s="29">
        <f t="shared" si="11"/>
        <v>0</v>
      </c>
      <c r="AK23" s="29">
        <f t="shared" si="12"/>
        <v>0</v>
      </c>
      <c r="AL23" s="29">
        <f t="shared" si="13"/>
        <v>0</v>
      </c>
      <c r="AN23" s="29">
        <v>15</v>
      </c>
      <c r="AO23" s="29">
        <f>H23*1</f>
        <v>0</v>
      </c>
      <c r="AP23" s="29">
        <f>H23*(1-1)</f>
        <v>0</v>
      </c>
      <c r="AQ23" s="63" t="s">
        <v>132</v>
      </c>
      <c r="AV23" s="29">
        <f t="shared" si="14"/>
        <v>0</v>
      </c>
      <c r="AW23" s="29">
        <f t="shared" si="15"/>
        <v>0</v>
      </c>
      <c r="AX23" s="29">
        <f t="shared" si="16"/>
        <v>0</v>
      </c>
      <c r="AY23" s="63" t="s">
        <v>133</v>
      </c>
      <c r="AZ23" s="63" t="s">
        <v>134</v>
      </c>
      <c r="BA23" s="47" t="s">
        <v>135</v>
      </c>
      <c r="BC23" s="29">
        <f t="shared" si="17"/>
        <v>0</v>
      </c>
      <c r="BD23" s="29">
        <f t="shared" si="18"/>
        <v>0</v>
      </c>
      <c r="BE23" s="29">
        <v>0</v>
      </c>
      <c r="BF23" s="29">
        <f>23</f>
        <v>23</v>
      </c>
      <c r="BH23" s="29">
        <f t="shared" si="19"/>
        <v>0</v>
      </c>
      <c r="BI23" s="29">
        <f t="shared" si="20"/>
        <v>0</v>
      </c>
      <c r="BJ23" s="29">
        <f t="shared" si="21"/>
        <v>0</v>
      </c>
      <c r="BK23" s="29" t="s">
        <v>163</v>
      </c>
      <c r="BL23" s="29">
        <v>721</v>
      </c>
    </row>
    <row r="24" spans="1:64" ht="12.75">
      <c r="A24" s="30" t="s">
        <v>167</v>
      </c>
      <c r="B24" s="4" t="s">
        <v>168</v>
      </c>
      <c r="C24" s="87" t="s">
        <v>169</v>
      </c>
      <c r="D24" s="87"/>
      <c r="E24" s="87"/>
      <c r="F24" s="4" t="s">
        <v>140</v>
      </c>
      <c r="G24" s="29">
        <v>30</v>
      </c>
      <c r="H24" s="29">
        <v>0</v>
      </c>
      <c r="I24" s="29">
        <f t="shared" si="0"/>
        <v>0</v>
      </c>
      <c r="J24" s="29">
        <f t="shared" si="1"/>
        <v>0</v>
      </c>
      <c r="K24" s="29">
        <f t="shared" si="2"/>
        <v>0</v>
      </c>
      <c r="L24" s="62"/>
      <c r="M24" s="3"/>
      <c r="Z24" s="29">
        <f t="shared" si="3"/>
        <v>0</v>
      </c>
      <c r="AB24" s="29">
        <f t="shared" si="4"/>
        <v>0</v>
      </c>
      <c r="AC24" s="29">
        <f t="shared" si="5"/>
        <v>0</v>
      </c>
      <c r="AD24" s="29">
        <f t="shared" si="6"/>
        <v>0</v>
      </c>
      <c r="AE24" s="29">
        <f t="shared" si="7"/>
        <v>0</v>
      </c>
      <c r="AF24" s="29">
        <f t="shared" si="8"/>
        <v>0</v>
      </c>
      <c r="AG24" s="29">
        <f t="shared" si="9"/>
        <v>0</v>
      </c>
      <c r="AH24" s="29">
        <f t="shared" si="10"/>
        <v>0</v>
      </c>
      <c r="AI24" s="47"/>
      <c r="AJ24" s="29">
        <f t="shared" si="11"/>
        <v>0</v>
      </c>
      <c r="AK24" s="29">
        <f t="shared" si="12"/>
        <v>0</v>
      </c>
      <c r="AL24" s="29">
        <f t="shared" si="13"/>
        <v>0</v>
      </c>
      <c r="AN24" s="29">
        <v>15</v>
      </c>
      <c r="AO24" s="29">
        <f>H24*1</f>
        <v>0</v>
      </c>
      <c r="AP24" s="29">
        <f>H24*(1-1)</f>
        <v>0</v>
      </c>
      <c r="AQ24" s="63" t="s">
        <v>132</v>
      </c>
      <c r="AV24" s="29">
        <f t="shared" si="14"/>
        <v>0</v>
      </c>
      <c r="AW24" s="29">
        <f t="shared" si="15"/>
        <v>0</v>
      </c>
      <c r="AX24" s="29">
        <f t="shared" si="16"/>
        <v>0</v>
      </c>
      <c r="AY24" s="63" t="s">
        <v>133</v>
      </c>
      <c r="AZ24" s="63" t="s">
        <v>134</v>
      </c>
      <c r="BA24" s="47" t="s">
        <v>135</v>
      </c>
      <c r="BC24" s="29">
        <f t="shared" si="17"/>
        <v>0</v>
      </c>
      <c r="BD24" s="29">
        <f t="shared" si="18"/>
        <v>0</v>
      </c>
      <c r="BE24" s="29">
        <v>0</v>
      </c>
      <c r="BF24" s="29">
        <f>24</f>
        <v>24</v>
      </c>
      <c r="BH24" s="29">
        <f t="shared" si="19"/>
        <v>0</v>
      </c>
      <c r="BI24" s="29">
        <f t="shared" si="20"/>
        <v>0</v>
      </c>
      <c r="BJ24" s="29">
        <f t="shared" si="21"/>
        <v>0</v>
      </c>
      <c r="BK24" s="29" t="s">
        <v>163</v>
      </c>
      <c r="BL24" s="29">
        <v>721</v>
      </c>
    </row>
    <row r="25" spans="1:64" ht="12.75">
      <c r="A25" s="30" t="s">
        <v>170</v>
      </c>
      <c r="B25" s="4" t="s">
        <v>171</v>
      </c>
      <c r="C25" s="87" t="s">
        <v>172</v>
      </c>
      <c r="D25" s="87"/>
      <c r="E25" s="87"/>
      <c r="F25" s="4" t="s">
        <v>140</v>
      </c>
      <c r="G25" s="29">
        <v>12</v>
      </c>
      <c r="H25" s="29">
        <v>0</v>
      </c>
      <c r="I25" s="29">
        <f t="shared" si="0"/>
        <v>0</v>
      </c>
      <c r="J25" s="29">
        <f t="shared" si="1"/>
        <v>0</v>
      </c>
      <c r="K25" s="29">
        <f t="shared" si="2"/>
        <v>0</v>
      </c>
      <c r="L25" s="62"/>
      <c r="M25" s="3"/>
      <c r="Z25" s="29">
        <f t="shared" si="3"/>
        <v>0</v>
      </c>
      <c r="AB25" s="29">
        <f t="shared" si="4"/>
        <v>0</v>
      </c>
      <c r="AC25" s="29">
        <f t="shared" si="5"/>
        <v>0</v>
      </c>
      <c r="AD25" s="29">
        <f t="shared" si="6"/>
        <v>0</v>
      </c>
      <c r="AE25" s="29">
        <f t="shared" si="7"/>
        <v>0</v>
      </c>
      <c r="AF25" s="29">
        <f t="shared" si="8"/>
        <v>0</v>
      </c>
      <c r="AG25" s="29">
        <f t="shared" si="9"/>
        <v>0</v>
      </c>
      <c r="AH25" s="29">
        <f t="shared" si="10"/>
        <v>0</v>
      </c>
      <c r="AI25" s="47"/>
      <c r="AJ25" s="29">
        <f t="shared" si="11"/>
        <v>0</v>
      </c>
      <c r="AK25" s="29">
        <f t="shared" si="12"/>
        <v>0</v>
      </c>
      <c r="AL25" s="29">
        <f t="shared" si="13"/>
        <v>0</v>
      </c>
      <c r="AN25" s="29">
        <v>15</v>
      </c>
      <c r="AO25" s="29">
        <f>H25*1</f>
        <v>0</v>
      </c>
      <c r="AP25" s="29">
        <f>H25*(1-1)</f>
        <v>0</v>
      </c>
      <c r="AQ25" s="63" t="s">
        <v>132</v>
      </c>
      <c r="AV25" s="29">
        <f t="shared" si="14"/>
        <v>0</v>
      </c>
      <c r="AW25" s="29">
        <f t="shared" si="15"/>
        <v>0</v>
      </c>
      <c r="AX25" s="29">
        <f t="shared" si="16"/>
        <v>0</v>
      </c>
      <c r="AY25" s="63" t="s">
        <v>133</v>
      </c>
      <c r="AZ25" s="63" t="s">
        <v>134</v>
      </c>
      <c r="BA25" s="47" t="s">
        <v>135</v>
      </c>
      <c r="BC25" s="29">
        <f t="shared" si="17"/>
        <v>0</v>
      </c>
      <c r="BD25" s="29">
        <f t="shared" si="18"/>
        <v>0</v>
      </c>
      <c r="BE25" s="29">
        <v>0</v>
      </c>
      <c r="BF25" s="29">
        <f>25</f>
        <v>25</v>
      </c>
      <c r="BH25" s="29">
        <f t="shared" si="19"/>
        <v>0</v>
      </c>
      <c r="BI25" s="29">
        <f t="shared" si="20"/>
        <v>0</v>
      </c>
      <c r="BJ25" s="29">
        <f t="shared" si="21"/>
        <v>0</v>
      </c>
      <c r="BK25" s="29" t="s">
        <v>163</v>
      </c>
      <c r="BL25" s="29">
        <v>721</v>
      </c>
    </row>
    <row r="26" spans="1:64" ht="12.75">
      <c r="A26" s="30" t="s">
        <v>173</v>
      </c>
      <c r="B26" s="4" t="s">
        <v>171</v>
      </c>
      <c r="C26" s="87" t="s">
        <v>174</v>
      </c>
      <c r="D26" s="87"/>
      <c r="E26" s="87"/>
      <c r="F26" s="4" t="s">
        <v>140</v>
      </c>
      <c r="G26" s="29">
        <v>30</v>
      </c>
      <c r="H26" s="29">
        <v>0</v>
      </c>
      <c r="I26" s="29">
        <f t="shared" si="0"/>
        <v>0</v>
      </c>
      <c r="J26" s="29">
        <f t="shared" si="1"/>
        <v>0</v>
      </c>
      <c r="K26" s="29">
        <f t="shared" si="2"/>
        <v>0</v>
      </c>
      <c r="L26" s="62"/>
      <c r="M26" s="3"/>
      <c r="Z26" s="29">
        <f t="shared" si="3"/>
        <v>0</v>
      </c>
      <c r="AB26" s="29">
        <f t="shared" si="4"/>
        <v>0</v>
      </c>
      <c r="AC26" s="29">
        <f t="shared" si="5"/>
        <v>0</v>
      </c>
      <c r="AD26" s="29">
        <f t="shared" si="6"/>
        <v>0</v>
      </c>
      <c r="AE26" s="29">
        <f t="shared" si="7"/>
        <v>0</v>
      </c>
      <c r="AF26" s="29">
        <f t="shared" si="8"/>
        <v>0</v>
      </c>
      <c r="AG26" s="29">
        <f t="shared" si="9"/>
        <v>0</v>
      </c>
      <c r="AH26" s="29">
        <f t="shared" si="10"/>
        <v>0</v>
      </c>
      <c r="AI26" s="47"/>
      <c r="AJ26" s="29">
        <f t="shared" si="11"/>
        <v>0</v>
      </c>
      <c r="AK26" s="29">
        <f t="shared" si="12"/>
        <v>0</v>
      </c>
      <c r="AL26" s="29">
        <f t="shared" si="13"/>
        <v>0</v>
      </c>
      <c r="AN26" s="29">
        <v>15</v>
      </c>
      <c r="AO26" s="29">
        <f>H26*1</f>
        <v>0</v>
      </c>
      <c r="AP26" s="29">
        <f>H26*(1-1)</f>
        <v>0</v>
      </c>
      <c r="AQ26" s="63" t="s">
        <v>132</v>
      </c>
      <c r="AV26" s="29">
        <f t="shared" si="14"/>
        <v>0</v>
      </c>
      <c r="AW26" s="29">
        <f t="shared" si="15"/>
        <v>0</v>
      </c>
      <c r="AX26" s="29">
        <f t="shared" si="16"/>
        <v>0</v>
      </c>
      <c r="AY26" s="63" t="s">
        <v>133</v>
      </c>
      <c r="AZ26" s="63" t="s">
        <v>134</v>
      </c>
      <c r="BA26" s="47" t="s">
        <v>135</v>
      </c>
      <c r="BC26" s="29">
        <f t="shared" si="17"/>
        <v>0</v>
      </c>
      <c r="BD26" s="29">
        <f t="shared" si="18"/>
        <v>0</v>
      </c>
      <c r="BE26" s="29">
        <v>0</v>
      </c>
      <c r="BF26" s="29">
        <f>26</f>
        <v>26</v>
      </c>
      <c r="BH26" s="29">
        <f t="shared" si="19"/>
        <v>0</v>
      </c>
      <c r="BI26" s="29">
        <f t="shared" si="20"/>
        <v>0</v>
      </c>
      <c r="BJ26" s="29">
        <f t="shared" si="21"/>
        <v>0</v>
      </c>
      <c r="BK26" s="29" t="s">
        <v>163</v>
      </c>
      <c r="BL26" s="29">
        <v>721</v>
      </c>
    </row>
    <row r="27" spans="1:64" ht="12.75">
      <c r="A27" s="30" t="s">
        <v>175</v>
      </c>
      <c r="B27" s="4" t="s">
        <v>176</v>
      </c>
      <c r="C27" s="87" t="s">
        <v>177</v>
      </c>
      <c r="D27" s="87"/>
      <c r="E27" s="87"/>
      <c r="F27" s="4" t="s">
        <v>140</v>
      </c>
      <c r="G27" s="29">
        <v>10</v>
      </c>
      <c r="H27" s="29">
        <v>0</v>
      </c>
      <c r="I27" s="29">
        <f t="shared" si="0"/>
        <v>0</v>
      </c>
      <c r="J27" s="29">
        <f t="shared" si="1"/>
        <v>0</v>
      </c>
      <c r="K27" s="29">
        <f t="shared" si="2"/>
        <v>0</v>
      </c>
      <c r="L27" s="62"/>
      <c r="M27" s="3"/>
      <c r="Z27" s="29">
        <f t="shared" si="3"/>
        <v>0</v>
      </c>
      <c r="AB27" s="29">
        <f t="shared" si="4"/>
        <v>0</v>
      </c>
      <c r="AC27" s="29">
        <f t="shared" si="5"/>
        <v>0</v>
      </c>
      <c r="AD27" s="29">
        <f t="shared" si="6"/>
        <v>0</v>
      </c>
      <c r="AE27" s="29">
        <f t="shared" si="7"/>
        <v>0</v>
      </c>
      <c r="AF27" s="29">
        <f t="shared" si="8"/>
        <v>0</v>
      </c>
      <c r="AG27" s="29">
        <f t="shared" si="9"/>
        <v>0</v>
      </c>
      <c r="AH27" s="29">
        <f t="shared" si="10"/>
        <v>0</v>
      </c>
      <c r="AI27" s="47"/>
      <c r="AJ27" s="29">
        <f t="shared" si="11"/>
        <v>0</v>
      </c>
      <c r="AK27" s="29">
        <f t="shared" si="12"/>
        <v>0</v>
      </c>
      <c r="AL27" s="29">
        <f t="shared" si="13"/>
        <v>0</v>
      </c>
      <c r="AN27" s="29">
        <v>15</v>
      </c>
      <c r="AO27" s="29">
        <f>H27*0.832115994415645</f>
        <v>0</v>
      </c>
      <c r="AP27" s="29">
        <f>H27*(1-0.832115994415645)</f>
        <v>0</v>
      </c>
      <c r="AQ27" s="63" t="s">
        <v>132</v>
      </c>
      <c r="AV27" s="29">
        <f t="shared" si="14"/>
        <v>0</v>
      </c>
      <c r="AW27" s="29">
        <f t="shared" si="15"/>
        <v>0</v>
      </c>
      <c r="AX27" s="29">
        <f t="shared" si="16"/>
        <v>0</v>
      </c>
      <c r="AY27" s="63" t="s">
        <v>133</v>
      </c>
      <c r="AZ27" s="63" t="s">
        <v>134</v>
      </c>
      <c r="BA27" s="47" t="s">
        <v>135</v>
      </c>
      <c r="BC27" s="29">
        <f t="shared" si="17"/>
        <v>0</v>
      </c>
      <c r="BD27" s="29">
        <f t="shared" si="18"/>
        <v>0</v>
      </c>
      <c r="BE27" s="29">
        <v>0</v>
      </c>
      <c r="BF27" s="29">
        <f>27</f>
        <v>27</v>
      </c>
      <c r="BH27" s="29">
        <f t="shared" si="19"/>
        <v>0</v>
      </c>
      <c r="BI27" s="29">
        <f t="shared" si="20"/>
        <v>0</v>
      </c>
      <c r="BJ27" s="29">
        <f t="shared" si="21"/>
        <v>0</v>
      </c>
      <c r="BK27" s="29" t="s">
        <v>136</v>
      </c>
      <c r="BL27" s="29">
        <v>721</v>
      </c>
    </row>
    <row r="28" spans="1:64" ht="12.75">
      <c r="A28" s="30" t="s">
        <v>178</v>
      </c>
      <c r="B28" s="4" t="s">
        <v>179</v>
      </c>
      <c r="C28" s="87" t="s">
        <v>180</v>
      </c>
      <c r="D28" s="87"/>
      <c r="E28" s="87"/>
      <c r="F28" s="4" t="s">
        <v>140</v>
      </c>
      <c r="G28" s="29">
        <v>10</v>
      </c>
      <c r="H28" s="29">
        <v>0</v>
      </c>
      <c r="I28" s="29">
        <f t="shared" si="0"/>
        <v>0</v>
      </c>
      <c r="J28" s="29">
        <f t="shared" si="1"/>
        <v>0</v>
      </c>
      <c r="K28" s="29">
        <f t="shared" si="2"/>
        <v>0</v>
      </c>
      <c r="L28" s="62"/>
      <c r="M28" s="3"/>
      <c r="Z28" s="29">
        <f t="shared" si="3"/>
        <v>0</v>
      </c>
      <c r="AB28" s="29">
        <f t="shared" si="4"/>
        <v>0</v>
      </c>
      <c r="AC28" s="29">
        <f t="shared" si="5"/>
        <v>0</v>
      </c>
      <c r="AD28" s="29">
        <f t="shared" si="6"/>
        <v>0</v>
      </c>
      <c r="AE28" s="29">
        <f t="shared" si="7"/>
        <v>0</v>
      </c>
      <c r="AF28" s="29">
        <f t="shared" si="8"/>
        <v>0</v>
      </c>
      <c r="AG28" s="29">
        <f t="shared" si="9"/>
        <v>0</v>
      </c>
      <c r="AH28" s="29">
        <f t="shared" si="10"/>
        <v>0</v>
      </c>
      <c r="AI28" s="47"/>
      <c r="AJ28" s="29">
        <f t="shared" si="11"/>
        <v>0</v>
      </c>
      <c r="AK28" s="29">
        <f t="shared" si="12"/>
        <v>0</v>
      </c>
      <c r="AL28" s="29">
        <f t="shared" si="13"/>
        <v>0</v>
      </c>
      <c r="AN28" s="29">
        <v>15</v>
      </c>
      <c r="AO28" s="29">
        <f>H28*0.824499411071849</f>
        <v>0</v>
      </c>
      <c r="AP28" s="29">
        <f>H28*(1-0.824499411071849)</f>
        <v>0</v>
      </c>
      <c r="AQ28" s="63" t="s">
        <v>132</v>
      </c>
      <c r="AV28" s="29">
        <f t="shared" si="14"/>
        <v>0</v>
      </c>
      <c r="AW28" s="29">
        <f t="shared" si="15"/>
        <v>0</v>
      </c>
      <c r="AX28" s="29">
        <f t="shared" si="16"/>
        <v>0</v>
      </c>
      <c r="AY28" s="63" t="s">
        <v>133</v>
      </c>
      <c r="AZ28" s="63" t="s">
        <v>134</v>
      </c>
      <c r="BA28" s="47" t="s">
        <v>135</v>
      </c>
      <c r="BC28" s="29">
        <f t="shared" si="17"/>
        <v>0</v>
      </c>
      <c r="BD28" s="29">
        <f t="shared" si="18"/>
        <v>0</v>
      </c>
      <c r="BE28" s="29">
        <v>0</v>
      </c>
      <c r="BF28" s="29">
        <f>28</f>
        <v>28</v>
      </c>
      <c r="BH28" s="29">
        <f t="shared" si="19"/>
        <v>0</v>
      </c>
      <c r="BI28" s="29">
        <f t="shared" si="20"/>
        <v>0</v>
      </c>
      <c r="BJ28" s="29">
        <f t="shared" si="21"/>
        <v>0</v>
      </c>
      <c r="BK28" s="29" t="s">
        <v>136</v>
      </c>
      <c r="BL28" s="29">
        <v>721</v>
      </c>
    </row>
    <row r="29" spans="1:64" ht="12.75">
      <c r="A29" s="30" t="s">
        <v>181</v>
      </c>
      <c r="B29" s="4" t="s">
        <v>182</v>
      </c>
      <c r="C29" s="87" t="s">
        <v>183</v>
      </c>
      <c r="D29" s="87"/>
      <c r="E29" s="87"/>
      <c r="F29" s="4" t="s">
        <v>131</v>
      </c>
      <c r="G29" s="29">
        <v>193</v>
      </c>
      <c r="H29" s="29">
        <v>0</v>
      </c>
      <c r="I29" s="29">
        <f t="shared" si="0"/>
        <v>0</v>
      </c>
      <c r="J29" s="29">
        <f t="shared" si="1"/>
        <v>0</v>
      </c>
      <c r="K29" s="29">
        <f t="shared" si="2"/>
        <v>0</v>
      </c>
      <c r="L29" s="62"/>
      <c r="M29" s="3"/>
      <c r="Z29" s="29">
        <f t="shared" si="3"/>
        <v>0</v>
      </c>
      <c r="AB29" s="29">
        <f t="shared" si="4"/>
        <v>0</v>
      </c>
      <c r="AC29" s="29">
        <f t="shared" si="5"/>
        <v>0</v>
      </c>
      <c r="AD29" s="29">
        <f t="shared" si="6"/>
        <v>0</v>
      </c>
      <c r="AE29" s="29">
        <f t="shared" si="7"/>
        <v>0</v>
      </c>
      <c r="AF29" s="29">
        <f t="shared" si="8"/>
        <v>0</v>
      </c>
      <c r="AG29" s="29">
        <f t="shared" si="9"/>
        <v>0</v>
      </c>
      <c r="AH29" s="29">
        <f t="shared" si="10"/>
        <v>0</v>
      </c>
      <c r="AI29" s="47"/>
      <c r="AJ29" s="29">
        <f t="shared" si="11"/>
        <v>0</v>
      </c>
      <c r="AK29" s="29">
        <f t="shared" si="12"/>
        <v>0</v>
      </c>
      <c r="AL29" s="29">
        <f t="shared" si="13"/>
        <v>0</v>
      </c>
      <c r="AN29" s="29">
        <v>15</v>
      </c>
      <c r="AO29" s="29">
        <f>H29*0.0270944472041641</f>
        <v>0</v>
      </c>
      <c r="AP29" s="29">
        <f>H29*(1-0.0270944472041641)</f>
        <v>0</v>
      </c>
      <c r="AQ29" s="63" t="s">
        <v>132</v>
      </c>
      <c r="AV29" s="29">
        <f t="shared" si="14"/>
        <v>0</v>
      </c>
      <c r="AW29" s="29">
        <f t="shared" si="15"/>
        <v>0</v>
      </c>
      <c r="AX29" s="29">
        <f t="shared" si="16"/>
        <v>0</v>
      </c>
      <c r="AY29" s="63" t="s">
        <v>133</v>
      </c>
      <c r="AZ29" s="63" t="s">
        <v>134</v>
      </c>
      <c r="BA29" s="47" t="s">
        <v>135</v>
      </c>
      <c r="BC29" s="29">
        <f t="shared" si="17"/>
        <v>0</v>
      </c>
      <c r="BD29" s="29">
        <f t="shared" si="18"/>
        <v>0</v>
      </c>
      <c r="BE29" s="29">
        <v>0</v>
      </c>
      <c r="BF29" s="29">
        <f>29</f>
        <v>29</v>
      </c>
      <c r="BH29" s="29">
        <f t="shared" si="19"/>
        <v>0</v>
      </c>
      <c r="BI29" s="29">
        <f t="shared" si="20"/>
        <v>0</v>
      </c>
      <c r="BJ29" s="29">
        <f t="shared" si="21"/>
        <v>0</v>
      </c>
      <c r="BK29" s="29" t="s">
        <v>136</v>
      </c>
      <c r="BL29" s="29">
        <v>721</v>
      </c>
    </row>
    <row r="30" spans="1:64" ht="12.75">
      <c r="A30" s="30" t="s">
        <v>184</v>
      </c>
      <c r="B30" s="4" t="s">
        <v>185</v>
      </c>
      <c r="C30" s="87" t="s">
        <v>186</v>
      </c>
      <c r="D30" s="87"/>
      <c r="E30" s="87"/>
      <c r="F30" s="4" t="s">
        <v>187</v>
      </c>
      <c r="G30" s="29">
        <v>2.43</v>
      </c>
      <c r="H30" s="29">
        <v>0</v>
      </c>
      <c r="I30" s="29">
        <f t="shared" si="0"/>
        <v>0</v>
      </c>
      <c r="J30" s="29">
        <f t="shared" si="1"/>
        <v>0</v>
      </c>
      <c r="K30" s="29">
        <f t="shared" si="2"/>
        <v>0</v>
      </c>
      <c r="L30" s="62"/>
      <c r="M30" s="3"/>
      <c r="Z30" s="29">
        <f t="shared" si="3"/>
        <v>0</v>
      </c>
      <c r="AB30" s="29">
        <f t="shared" si="4"/>
        <v>0</v>
      </c>
      <c r="AC30" s="29">
        <f t="shared" si="5"/>
        <v>0</v>
      </c>
      <c r="AD30" s="29">
        <f t="shared" si="6"/>
        <v>0</v>
      </c>
      <c r="AE30" s="29">
        <f t="shared" si="7"/>
        <v>0</v>
      </c>
      <c r="AF30" s="29">
        <f t="shared" si="8"/>
        <v>0</v>
      </c>
      <c r="AG30" s="29">
        <f t="shared" si="9"/>
        <v>0</v>
      </c>
      <c r="AH30" s="29">
        <f t="shared" si="10"/>
        <v>0</v>
      </c>
      <c r="AI30" s="47"/>
      <c r="AJ30" s="29">
        <f t="shared" si="11"/>
        <v>0</v>
      </c>
      <c r="AK30" s="29">
        <f t="shared" si="12"/>
        <v>0</v>
      </c>
      <c r="AL30" s="29">
        <f t="shared" si="13"/>
        <v>0</v>
      </c>
      <c r="AN30" s="29">
        <v>15</v>
      </c>
      <c r="AO30" s="29">
        <f>H30*0</f>
        <v>0</v>
      </c>
      <c r="AP30" s="29">
        <f>H30*(1-0)</f>
        <v>0</v>
      </c>
      <c r="AQ30" s="63" t="s">
        <v>132</v>
      </c>
      <c r="AV30" s="29">
        <f t="shared" si="14"/>
        <v>0</v>
      </c>
      <c r="AW30" s="29">
        <f t="shared" si="15"/>
        <v>0</v>
      </c>
      <c r="AX30" s="29">
        <f t="shared" si="16"/>
        <v>0</v>
      </c>
      <c r="AY30" s="63" t="s">
        <v>133</v>
      </c>
      <c r="AZ30" s="63" t="s">
        <v>134</v>
      </c>
      <c r="BA30" s="47" t="s">
        <v>135</v>
      </c>
      <c r="BC30" s="29">
        <f t="shared" si="17"/>
        <v>0</v>
      </c>
      <c r="BD30" s="29">
        <f t="shared" si="18"/>
        <v>0</v>
      </c>
      <c r="BE30" s="29">
        <v>0</v>
      </c>
      <c r="BF30" s="29">
        <f>30</f>
        <v>30</v>
      </c>
      <c r="BH30" s="29">
        <f t="shared" si="19"/>
        <v>0</v>
      </c>
      <c r="BI30" s="29">
        <f t="shared" si="20"/>
        <v>0</v>
      </c>
      <c r="BJ30" s="29">
        <f t="shared" si="21"/>
        <v>0</v>
      </c>
      <c r="BK30" s="29" t="s">
        <v>136</v>
      </c>
      <c r="BL30" s="29">
        <v>721</v>
      </c>
    </row>
    <row r="31" spans="1:47" ht="12.75">
      <c r="A31" s="64"/>
      <c r="B31" s="65" t="s">
        <v>69</v>
      </c>
      <c r="C31" s="111" t="s">
        <v>70</v>
      </c>
      <c r="D31" s="111"/>
      <c r="E31" s="111"/>
      <c r="F31" s="66" t="s">
        <v>99</v>
      </c>
      <c r="G31" s="66" t="s">
        <v>99</v>
      </c>
      <c r="H31" s="66" t="s">
        <v>99</v>
      </c>
      <c r="I31" s="61">
        <f>SUM(I32:I56)</f>
        <v>0</v>
      </c>
      <c r="J31" s="61">
        <f>SUM(J32:J56)</f>
        <v>0</v>
      </c>
      <c r="K31" s="61">
        <f>SUM(K32:K56)</f>
        <v>0</v>
      </c>
      <c r="L31" s="67"/>
      <c r="M31" s="3"/>
      <c r="AI31" s="47"/>
      <c r="AS31" s="61">
        <f>SUM(AJ32:AJ56)</f>
        <v>0</v>
      </c>
      <c r="AT31" s="61">
        <f>SUM(AK32:AK56)</f>
        <v>0</v>
      </c>
      <c r="AU31" s="61">
        <f>SUM(AL32:AL56)</f>
        <v>0</v>
      </c>
    </row>
    <row r="32" spans="1:64" ht="12.75">
      <c r="A32" s="30" t="s">
        <v>188</v>
      </c>
      <c r="B32" s="4" t="s">
        <v>189</v>
      </c>
      <c r="C32" s="87" t="s">
        <v>190</v>
      </c>
      <c r="D32" s="87"/>
      <c r="E32" s="87"/>
      <c r="F32" s="4" t="s">
        <v>131</v>
      </c>
      <c r="G32" s="29">
        <v>120</v>
      </c>
      <c r="H32" s="29">
        <v>0</v>
      </c>
      <c r="I32" s="29">
        <f aca="true" t="shared" si="22" ref="I32:I56">G32*AO32</f>
        <v>0</v>
      </c>
      <c r="J32" s="29">
        <f aca="true" t="shared" si="23" ref="J32:J56">G32*AP32</f>
        <v>0</v>
      </c>
      <c r="K32" s="29">
        <f aca="true" t="shared" si="24" ref="K32:K56">G32*H32</f>
        <v>0</v>
      </c>
      <c r="L32" s="62"/>
      <c r="M32" s="3"/>
      <c r="Z32" s="29">
        <f aca="true" t="shared" si="25" ref="Z32:Z56">IF(AQ32="5",BJ32,0)</f>
        <v>0</v>
      </c>
      <c r="AB32" s="29">
        <f aca="true" t="shared" si="26" ref="AB32:AB56">IF(AQ32="1",BH32,0)</f>
        <v>0</v>
      </c>
      <c r="AC32" s="29">
        <f aca="true" t="shared" si="27" ref="AC32:AC56">IF(AQ32="1",BI32,0)</f>
        <v>0</v>
      </c>
      <c r="AD32" s="29">
        <f aca="true" t="shared" si="28" ref="AD32:AD56">IF(AQ32="7",BH32,0)</f>
        <v>0</v>
      </c>
      <c r="AE32" s="29">
        <f aca="true" t="shared" si="29" ref="AE32:AE56">IF(AQ32="7",BI32,0)</f>
        <v>0</v>
      </c>
      <c r="AF32" s="29">
        <f aca="true" t="shared" si="30" ref="AF32:AF56">IF(AQ32="2",BH32,0)</f>
        <v>0</v>
      </c>
      <c r="AG32" s="29">
        <f aca="true" t="shared" si="31" ref="AG32:AG56">IF(AQ32="2",BI32,0)</f>
        <v>0</v>
      </c>
      <c r="AH32" s="29">
        <f aca="true" t="shared" si="32" ref="AH32:AH56">IF(AQ32="0",BJ32,0)</f>
        <v>0</v>
      </c>
      <c r="AI32" s="47"/>
      <c r="AJ32" s="29">
        <f aca="true" t="shared" si="33" ref="AJ32:AJ56">IF(AN32=0,K32,0)</f>
        <v>0</v>
      </c>
      <c r="AK32" s="29">
        <f aca="true" t="shared" si="34" ref="AK32:AK56">IF(AN32=15,K32,0)</f>
        <v>0</v>
      </c>
      <c r="AL32" s="29">
        <f aca="true" t="shared" si="35" ref="AL32:AL56">IF(AN32=21,K32,0)</f>
        <v>0</v>
      </c>
      <c r="AN32" s="29">
        <v>15</v>
      </c>
      <c r="AO32" s="29">
        <f>H32*0</f>
        <v>0</v>
      </c>
      <c r="AP32" s="29">
        <f>H32*(1-0)</f>
        <v>0</v>
      </c>
      <c r="AQ32" s="63" t="s">
        <v>132</v>
      </c>
      <c r="AV32" s="29">
        <f aca="true" t="shared" si="36" ref="AV32:AV56">AW32+AX32</f>
        <v>0</v>
      </c>
      <c r="AW32" s="29">
        <f aca="true" t="shared" si="37" ref="AW32:AW56">G32*AO32</f>
        <v>0</v>
      </c>
      <c r="AX32" s="29">
        <f aca="true" t="shared" si="38" ref="AX32:AX56">G32*AP32</f>
        <v>0</v>
      </c>
      <c r="AY32" s="63" t="s">
        <v>191</v>
      </c>
      <c r="AZ32" s="63" t="s">
        <v>134</v>
      </c>
      <c r="BA32" s="47" t="s">
        <v>135</v>
      </c>
      <c r="BC32" s="29">
        <f aca="true" t="shared" si="39" ref="BC32:BC56">AW32+AX32</f>
        <v>0</v>
      </c>
      <c r="BD32" s="29">
        <f aca="true" t="shared" si="40" ref="BD32:BD56">H32/(100-BE32)*100</f>
        <v>0</v>
      </c>
      <c r="BE32" s="29">
        <v>0</v>
      </c>
      <c r="BF32" s="29">
        <f>32</f>
        <v>32</v>
      </c>
      <c r="BH32" s="29">
        <f aca="true" t="shared" si="41" ref="BH32:BH56">G32*AO32</f>
        <v>0</v>
      </c>
      <c r="BI32" s="29">
        <f aca="true" t="shared" si="42" ref="BI32:BI56">G32*AP32</f>
        <v>0</v>
      </c>
      <c r="BJ32" s="29">
        <f aca="true" t="shared" si="43" ref="BJ32:BJ56">G32*H32</f>
        <v>0</v>
      </c>
      <c r="BK32" s="29" t="s">
        <v>136</v>
      </c>
      <c r="BL32" s="29">
        <v>722</v>
      </c>
    </row>
    <row r="33" spans="1:64" ht="12.75">
      <c r="A33" s="30" t="s">
        <v>192</v>
      </c>
      <c r="B33" s="4" t="s">
        <v>193</v>
      </c>
      <c r="C33" s="87" t="s">
        <v>194</v>
      </c>
      <c r="D33" s="87"/>
      <c r="E33" s="87"/>
      <c r="F33" s="4" t="s">
        <v>131</v>
      </c>
      <c r="G33" s="29">
        <v>103</v>
      </c>
      <c r="H33" s="29">
        <v>0</v>
      </c>
      <c r="I33" s="29">
        <f t="shared" si="22"/>
        <v>0</v>
      </c>
      <c r="J33" s="29">
        <f t="shared" si="23"/>
        <v>0</v>
      </c>
      <c r="K33" s="29">
        <f t="shared" si="24"/>
        <v>0</v>
      </c>
      <c r="L33" s="62"/>
      <c r="M33" s="3"/>
      <c r="Z33" s="29">
        <f t="shared" si="25"/>
        <v>0</v>
      </c>
      <c r="AB33" s="29">
        <f t="shared" si="26"/>
        <v>0</v>
      </c>
      <c r="AC33" s="29">
        <f t="shared" si="27"/>
        <v>0</v>
      </c>
      <c r="AD33" s="29">
        <f t="shared" si="28"/>
        <v>0</v>
      </c>
      <c r="AE33" s="29">
        <f t="shared" si="29"/>
        <v>0</v>
      </c>
      <c r="AF33" s="29">
        <f t="shared" si="30"/>
        <v>0</v>
      </c>
      <c r="AG33" s="29">
        <f t="shared" si="31"/>
        <v>0</v>
      </c>
      <c r="AH33" s="29">
        <f t="shared" si="32"/>
        <v>0</v>
      </c>
      <c r="AI33" s="47"/>
      <c r="AJ33" s="29">
        <f t="shared" si="33"/>
        <v>0</v>
      </c>
      <c r="AK33" s="29">
        <f t="shared" si="34"/>
        <v>0</v>
      </c>
      <c r="AL33" s="29">
        <f t="shared" si="35"/>
        <v>0</v>
      </c>
      <c r="AN33" s="29">
        <v>15</v>
      </c>
      <c r="AO33" s="29">
        <f>H33*0</f>
        <v>0</v>
      </c>
      <c r="AP33" s="29">
        <f>H33*(1-0)</f>
        <v>0</v>
      </c>
      <c r="AQ33" s="63" t="s">
        <v>132</v>
      </c>
      <c r="AV33" s="29">
        <f t="shared" si="36"/>
        <v>0</v>
      </c>
      <c r="AW33" s="29">
        <f t="shared" si="37"/>
        <v>0</v>
      </c>
      <c r="AX33" s="29">
        <f t="shared" si="38"/>
        <v>0</v>
      </c>
      <c r="AY33" s="63" t="s">
        <v>191</v>
      </c>
      <c r="AZ33" s="63" t="s">
        <v>134</v>
      </c>
      <c r="BA33" s="47" t="s">
        <v>135</v>
      </c>
      <c r="BC33" s="29">
        <f t="shared" si="39"/>
        <v>0</v>
      </c>
      <c r="BD33" s="29">
        <f t="shared" si="40"/>
        <v>0</v>
      </c>
      <c r="BE33" s="29">
        <v>0</v>
      </c>
      <c r="BF33" s="29">
        <f>33</f>
        <v>33</v>
      </c>
      <c r="BH33" s="29">
        <f t="shared" si="41"/>
        <v>0</v>
      </c>
      <c r="BI33" s="29">
        <f t="shared" si="42"/>
        <v>0</v>
      </c>
      <c r="BJ33" s="29">
        <f t="shared" si="43"/>
        <v>0</v>
      </c>
      <c r="BK33" s="29" t="s">
        <v>136</v>
      </c>
      <c r="BL33" s="29">
        <v>722</v>
      </c>
    </row>
    <row r="34" spans="1:64" ht="12.75">
      <c r="A34" s="30" t="s">
        <v>195</v>
      </c>
      <c r="B34" s="4" t="s">
        <v>196</v>
      </c>
      <c r="C34" s="87" t="s">
        <v>197</v>
      </c>
      <c r="D34" s="87"/>
      <c r="E34" s="87"/>
      <c r="F34" s="4" t="s">
        <v>140</v>
      </c>
      <c r="G34" s="29">
        <v>24</v>
      </c>
      <c r="H34" s="29">
        <v>0</v>
      </c>
      <c r="I34" s="29">
        <f t="shared" si="22"/>
        <v>0</v>
      </c>
      <c r="J34" s="29">
        <f t="shared" si="23"/>
        <v>0</v>
      </c>
      <c r="K34" s="29">
        <f t="shared" si="24"/>
        <v>0</v>
      </c>
      <c r="L34" s="62"/>
      <c r="M34" s="3"/>
      <c r="Z34" s="29">
        <f t="shared" si="25"/>
        <v>0</v>
      </c>
      <c r="AB34" s="29">
        <f t="shared" si="26"/>
        <v>0</v>
      </c>
      <c r="AC34" s="29">
        <f t="shared" si="27"/>
        <v>0</v>
      </c>
      <c r="AD34" s="29">
        <f t="shared" si="28"/>
        <v>0</v>
      </c>
      <c r="AE34" s="29">
        <f t="shared" si="29"/>
        <v>0</v>
      </c>
      <c r="AF34" s="29">
        <f t="shared" si="30"/>
        <v>0</v>
      </c>
      <c r="AG34" s="29">
        <f t="shared" si="31"/>
        <v>0</v>
      </c>
      <c r="AH34" s="29">
        <f t="shared" si="32"/>
        <v>0</v>
      </c>
      <c r="AI34" s="47"/>
      <c r="AJ34" s="29">
        <f t="shared" si="33"/>
        <v>0</v>
      </c>
      <c r="AK34" s="29">
        <f t="shared" si="34"/>
        <v>0</v>
      </c>
      <c r="AL34" s="29">
        <f t="shared" si="35"/>
        <v>0</v>
      </c>
      <c r="AN34" s="29">
        <v>15</v>
      </c>
      <c r="AO34" s="29">
        <f>H34*0.53889338731444</f>
        <v>0</v>
      </c>
      <c r="AP34" s="29">
        <f>H34*(1-0.53889338731444)</f>
        <v>0</v>
      </c>
      <c r="AQ34" s="63" t="s">
        <v>132</v>
      </c>
      <c r="AV34" s="29">
        <f t="shared" si="36"/>
        <v>0</v>
      </c>
      <c r="AW34" s="29">
        <f t="shared" si="37"/>
        <v>0</v>
      </c>
      <c r="AX34" s="29">
        <f t="shared" si="38"/>
        <v>0</v>
      </c>
      <c r="AY34" s="63" t="s">
        <v>191</v>
      </c>
      <c r="AZ34" s="63" t="s">
        <v>134</v>
      </c>
      <c r="BA34" s="47" t="s">
        <v>135</v>
      </c>
      <c r="BC34" s="29">
        <f t="shared" si="39"/>
        <v>0</v>
      </c>
      <c r="BD34" s="29">
        <f t="shared" si="40"/>
        <v>0</v>
      </c>
      <c r="BE34" s="29">
        <v>0</v>
      </c>
      <c r="BF34" s="29">
        <f>34</f>
        <v>34</v>
      </c>
      <c r="BH34" s="29">
        <f t="shared" si="41"/>
        <v>0</v>
      </c>
      <c r="BI34" s="29">
        <f t="shared" si="42"/>
        <v>0</v>
      </c>
      <c r="BJ34" s="29">
        <f t="shared" si="43"/>
        <v>0</v>
      </c>
      <c r="BK34" s="29" t="s">
        <v>136</v>
      </c>
      <c r="BL34" s="29">
        <v>722</v>
      </c>
    </row>
    <row r="35" spans="1:64" ht="12.75">
      <c r="A35" s="30" t="s">
        <v>198</v>
      </c>
      <c r="B35" s="4" t="s">
        <v>199</v>
      </c>
      <c r="C35" s="87" t="s">
        <v>200</v>
      </c>
      <c r="D35" s="87"/>
      <c r="E35" s="87"/>
      <c r="F35" s="4" t="s">
        <v>140</v>
      </c>
      <c r="G35" s="29">
        <v>6</v>
      </c>
      <c r="H35" s="29">
        <v>0</v>
      </c>
      <c r="I35" s="29">
        <f t="shared" si="22"/>
        <v>0</v>
      </c>
      <c r="J35" s="29">
        <f t="shared" si="23"/>
        <v>0</v>
      </c>
      <c r="K35" s="29">
        <f t="shared" si="24"/>
        <v>0</v>
      </c>
      <c r="L35" s="62"/>
      <c r="M35" s="3"/>
      <c r="Z35" s="29">
        <f t="shared" si="25"/>
        <v>0</v>
      </c>
      <c r="AB35" s="29">
        <f t="shared" si="26"/>
        <v>0</v>
      </c>
      <c r="AC35" s="29">
        <f t="shared" si="27"/>
        <v>0</v>
      </c>
      <c r="AD35" s="29">
        <f t="shared" si="28"/>
        <v>0</v>
      </c>
      <c r="AE35" s="29">
        <f t="shared" si="29"/>
        <v>0</v>
      </c>
      <c r="AF35" s="29">
        <f t="shared" si="30"/>
        <v>0</v>
      </c>
      <c r="AG35" s="29">
        <f t="shared" si="31"/>
        <v>0</v>
      </c>
      <c r="AH35" s="29">
        <f t="shared" si="32"/>
        <v>0</v>
      </c>
      <c r="AI35" s="47"/>
      <c r="AJ35" s="29">
        <f t="shared" si="33"/>
        <v>0</v>
      </c>
      <c r="AK35" s="29">
        <f t="shared" si="34"/>
        <v>0</v>
      </c>
      <c r="AL35" s="29">
        <f t="shared" si="35"/>
        <v>0</v>
      </c>
      <c r="AN35" s="29">
        <v>15</v>
      </c>
      <c r="AO35" s="29">
        <f>H35*0.707465753424658</f>
        <v>0</v>
      </c>
      <c r="AP35" s="29">
        <f>H35*(1-0.707465753424658)</f>
        <v>0</v>
      </c>
      <c r="AQ35" s="63" t="s">
        <v>132</v>
      </c>
      <c r="AV35" s="29">
        <f t="shared" si="36"/>
        <v>0</v>
      </c>
      <c r="AW35" s="29">
        <f t="shared" si="37"/>
        <v>0</v>
      </c>
      <c r="AX35" s="29">
        <f t="shared" si="38"/>
        <v>0</v>
      </c>
      <c r="AY35" s="63" t="s">
        <v>191</v>
      </c>
      <c r="AZ35" s="63" t="s">
        <v>134</v>
      </c>
      <c r="BA35" s="47" t="s">
        <v>135</v>
      </c>
      <c r="BC35" s="29">
        <f t="shared" si="39"/>
        <v>0</v>
      </c>
      <c r="BD35" s="29">
        <f t="shared" si="40"/>
        <v>0</v>
      </c>
      <c r="BE35" s="29">
        <v>0</v>
      </c>
      <c r="BF35" s="29">
        <f>35</f>
        <v>35</v>
      </c>
      <c r="BH35" s="29">
        <f t="shared" si="41"/>
        <v>0</v>
      </c>
      <c r="BI35" s="29">
        <f t="shared" si="42"/>
        <v>0</v>
      </c>
      <c r="BJ35" s="29">
        <f t="shared" si="43"/>
        <v>0</v>
      </c>
      <c r="BK35" s="29" t="s">
        <v>136</v>
      </c>
      <c r="BL35" s="29">
        <v>722</v>
      </c>
    </row>
    <row r="36" spans="1:64" ht="12.75">
      <c r="A36" s="30" t="s">
        <v>201</v>
      </c>
      <c r="B36" s="4" t="s">
        <v>202</v>
      </c>
      <c r="C36" s="87" t="s">
        <v>203</v>
      </c>
      <c r="D36" s="87"/>
      <c r="E36" s="87"/>
      <c r="F36" s="4" t="s">
        <v>140</v>
      </c>
      <c r="G36" s="29">
        <v>5</v>
      </c>
      <c r="H36" s="29">
        <v>0</v>
      </c>
      <c r="I36" s="29">
        <f t="shared" si="22"/>
        <v>0</v>
      </c>
      <c r="J36" s="29">
        <f t="shared" si="23"/>
        <v>0</v>
      </c>
      <c r="K36" s="29">
        <f t="shared" si="24"/>
        <v>0</v>
      </c>
      <c r="L36" s="62"/>
      <c r="M36" s="3"/>
      <c r="Z36" s="29">
        <f t="shared" si="25"/>
        <v>0</v>
      </c>
      <c r="AB36" s="29">
        <f t="shared" si="26"/>
        <v>0</v>
      </c>
      <c r="AC36" s="29">
        <f t="shared" si="27"/>
        <v>0</v>
      </c>
      <c r="AD36" s="29">
        <f t="shared" si="28"/>
        <v>0</v>
      </c>
      <c r="AE36" s="29">
        <f t="shared" si="29"/>
        <v>0</v>
      </c>
      <c r="AF36" s="29">
        <f t="shared" si="30"/>
        <v>0</v>
      </c>
      <c r="AG36" s="29">
        <f t="shared" si="31"/>
        <v>0</v>
      </c>
      <c r="AH36" s="29">
        <f t="shared" si="32"/>
        <v>0</v>
      </c>
      <c r="AI36" s="47"/>
      <c r="AJ36" s="29">
        <f t="shared" si="33"/>
        <v>0</v>
      </c>
      <c r="AK36" s="29">
        <f t="shared" si="34"/>
        <v>0</v>
      </c>
      <c r="AL36" s="29">
        <f t="shared" si="35"/>
        <v>0</v>
      </c>
      <c r="AN36" s="29">
        <v>15</v>
      </c>
      <c r="AO36" s="29">
        <f>H36*0.638606701940035</f>
        <v>0</v>
      </c>
      <c r="AP36" s="29">
        <f>H36*(1-0.638606701940035)</f>
        <v>0</v>
      </c>
      <c r="AQ36" s="63" t="s">
        <v>132</v>
      </c>
      <c r="AV36" s="29">
        <f t="shared" si="36"/>
        <v>0</v>
      </c>
      <c r="AW36" s="29">
        <f t="shared" si="37"/>
        <v>0</v>
      </c>
      <c r="AX36" s="29">
        <f t="shared" si="38"/>
        <v>0</v>
      </c>
      <c r="AY36" s="63" t="s">
        <v>191</v>
      </c>
      <c r="AZ36" s="63" t="s">
        <v>134</v>
      </c>
      <c r="BA36" s="47" t="s">
        <v>135</v>
      </c>
      <c r="BC36" s="29">
        <f t="shared" si="39"/>
        <v>0</v>
      </c>
      <c r="BD36" s="29">
        <f t="shared" si="40"/>
        <v>0</v>
      </c>
      <c r="BE36" s="29">
        <v>0</v>
      </c>
      <c r="BF36" s="29">
        <f>36</f>
        <v>36</v>
      </c>
      <c r="BH36" s="29">
        <f t="shared" si="41"/>
        <v>0</v>
      </c>
      <c r="BI36" s="29">
        <f t="shared" si="42"/>
        <v>0</v>
      </c>
      <c r="BJ36" s="29">
        <f t="shared" si="43"/>
        <v>0</v>
      </c>
      <c r="BK36" s="29" t="s">
        <v>136</v>
      </c>
      <c r="BL36" s="29">
        <v>722</v>
      </c>
    </row>
    <row r="37" spans="1:64" ht="12.75">
      <c r="A37" s="30" t="s">
        <v>204</v>
      </c>
      <c r="B37" s="4" t="s">
        <v>205</v>
      </c>
      <c r="C37" s="87" t="s">
        <v>206</v>
      </c>
      <c r="D37" s="87"/>
      <c r="E37" s="87"/>
      <c r="F37" s="4" t="s">
        <v>140</v>
      </c>
      <c r="G37" s="29">
        <v>8</v>
      </c>
      <c r="H37" s="29">
        <v>0</v>
      </c>
      <c r="I37" s="29">
        <f t="shared" si="22"/>
        <v>0</v>
      </c>
      <c r="J37" s="29">
        <f t="shared" si="23"/>
        <v>0</v>
      </c>
      <c r="K37" s="29">
        <f t="shared" si="24"/>
        <v>0</v>
      </c>
      <c r="L37" s="62"/>
      <c r="M37" s="3"/>
      <c r="Z37" s="29">
        <f t="shared" si="25"/>
        <v>0</v>
      </c>
      <c r="AB37" s="29">
        <f t="shared" si="26"/>
        <v>0</v>
      </c>
      <c r="AC37" s="29">
        <f t="shared" si="27"/>
        <v>0</v>
      </c>
      <c r="AD37" s="29">
        <f t="shared" si="28"/>
        <v>0</v>
      </c>
      <c r="AE37" s="29">
        <f t="shared" si="29"/>
        <v>0</v>
      </c>
      <c r="AF37" s="29">
        <f t="shared" si="30"/>
        <v>0</v>
      </c>
      <c r="AG37" s="29">
        <f t="shared" si="31"/>
        <v>0</v>
      </c>
      <c r="AH37" s="29">
        <f t="shared" si="32"/>
        <v>0</v>
      </c>
      <c r="AI37" s="47"/>
      <c r="AJ37" s="29">
        <f t="shared" si="33"/>
        <v>0</v>
      </c>
      <c r="AK37" s="29">
        <f t="shared" si="34"/>
        <v>0</v>
      </c>
      <c r="AL37" s="29">
        <f t="shared" si="35"/>
        <v>0</v>
      </c>
      <c r="AN37" s="29">
        <v>15</v>
      </c>
      <c r="AO37" s="29">
        <f>H37*0</f>
        <v>0</v>
      </c>
      <c r="AP37" s="29">
        <f>H37*(1-0)</f>
        <v>0</v>
      </c>
      <c r="AQ37" s="63" t="s">
        <v>132</v>
      </c>
      <c r="AV37" s="29">
        <f t="shared" si="36"/>
        <v>0</v>
      </c>
      <c r="AW37" s="29">
        <f t="shared" si="37"/>
        <v>0</v>
      </c>
      <c r="AX37" s="29">
        <f t="shared" si="38"/>
        <v>0</v>
      </c>
      <c r="AY37" s="63" t="s">
        <v>191</v>
      </c>
      <c r="AZ37" s="63" t="s">
        <v>134</v>
      </c>
      <c r="BA37" s="47" t="s">
        <v>135</v>
      </c>
      <c r="BC37" s="29">
        <f t="shared" si="39"/>
        <v>0</v>
      </c>
      <c r="BD37" s="29">
        <f t="shared" si="40"/>
        <v>0</v>
      </c>
      <c r="BE37" s="29">
        <v>0</v>
      </c>
      <c r="BF37" s="29">
        <f>37</f>
        <v>37</v>
      </c>
      <c r="BH37" s="29">
        <f t="shared" si="41"/>
        <v>0</v>
      </c>
      <c r="BI37" s="29">
        <f t="shared" si="42"/>
        <v>0</v>
      </c>
      <c r="BJ37" s="29">
        <f t="shared" si="43"/>
        <v>0</v>
      </c>
      <c r="BK37" s="29" t="s">
        <v>136</v>
      </c>
      <c r="BL37" s="29">
        <v>722</v>
      </c>
    </row>
    <row r="38" spans="1:64" ht="12.75">
      <c r="A38" s="30" t="s">
        <v>207</v>
      </c>
      <c r="B38" s="4" t="s">
        <v>208</v>
      </c>
      <c r="C38" s="87" t="s">
        <v>209</v>
      </c>
      <c r="D38" s="87"/>
      <c r="E38" s="87"/>
      <c r="F38" s="4" t="s">
        <v>140</v>
      </c>
      <c r="G38" s="29">
        <v>12</v>
      </c>
      <c r="H38" s="29">
        <v>0</v>
      </c>
      <c r="I38" s="29">
        <f t="shared" si="22"/>
        <v>0</v>
      </c>
      <c r="J38" s="29">
        <f t="shared" si="23"/>
        <v>0</v>
      </c>
      <c r="K38" s="29">
        <f t="shared" si="24"/>
        <v>0</v>
      </c>
      <c r="L38" s="62"/>
      <c r="M38" s="3"/>
      <c r="Z38" s="29">
        <f t="shared" si="25"/>
        <v>0</v>
      </c>
      <c r="AB38" s="29">
        <f t="shared" si="26"/>
        <v>0</v>
      </c>
      <c r="AC38" s="29">
        <f t="shared" si="27"/>
        <v>0</v>
      </c>
      <c r="AD38" s="29">
        <f t="shared" si="28"/>
        <v>0</v>
      </c>
      <c r="AE38" s="29">
        <f t="shared" si="29"/>
        <v>0</v>
      </c>
      <c r="AF38" s="29">
        <f t="shared" si="30"/>
        <v>0</v>
      </c>
      <c r="AG38" s="29">
        <f t="shared" si="31"/>
        <v>0</v>
      </c>
      <c r="AH38" s="29">
        <f t="shared" si="32"/>
        <v>0</v>
      </c>
      <c r="AI38" s="47"/>
      <c r="AJ38" s="29">
        <f t="shared" si="33"/>
        <v>0</v>
      </c>
      <c r="AK38" s="29">
        <f t="shared" si="34"/>
        <v>0</v>
      </c>
      <c r="AL38" s="29">
        <f t="shared" si="35"/>
        <v>0</v>
      </c>
      <c r="AN38" s="29">
        <v>15</v>
      </c>
      <c r="AO38" s="29">
        <f>H38*0</f>
        <v>0</v>
      </c>
      <c r="AP38" s="29">
        <f>H38*(1-0)</f>
        <v>0</v>
      </c>
      <c r="AQ38" s="63" t="s">
        <v>132</v>
      </c>
      <c r="AV38" s="29">
        <f t="shared" si="36"/>
        <v>0</v>
      </c>
      <c r="AW38" s="29">
        <f t="shared" si="37"/>
        <v>0</v>
      </c>
      <c r="AX38" s="29">
        <f t="shared" si="38"/>
        <v>0</v>
      </c>
      <c r="AY38" s="63" t="s">
        <v>191</v>
      </c>
      <c r="AZ38" s="63" t="s">
        <v>134</v>
      </c>
      <c r="BA38" s="47" t="s">
        <v>135</v>
      </c>
      <c r="BC38" s="29">
        <f t="shared" si="39"/>
        <v>0</v>
      </c>
      <c r="BD38" s="29">
        <f t="shared" si="40"/>
        <v>0</v>
      </c>
      <c r="BE38" s="29">
        <v>0</v>
      </c>
      <c r="BF38" s="29">
        <f>38</f>
        <v>38</v>
      </c>
      <c r="BH38" s="29">
        <f t="shared" si="41"/>
        <v>0</v>
      </c>
      <c r="BI38" s="29">
        <f t="shared" si="42"/>
        <v>0</v>
      </c>
      <c r="BJ38" s="29">
        <f t="shared" si="43"/>
        <v>0</v>
      </c>
      <c r="BK38" s="29" t="s">
        <v>136</v>
      </c>
      <c r="BL38" s="29">
        <v>722</v>
      </c>
    </row>
    <row r="39" spans="1:64" ht="12.75">
      <c r="A39" s="30" t="s">
        <v>210</v>
      </c>
      <c r="B39" s="4" t="s">
        <v>211</v>
      </c>
      <c r="C39" s="87" t="s">
        <v>212</v>
      </c>
      <c r="D39" s="87"/>
      <c r="E39" s="87"/>
      <c r="F39" s="4" t="s">
        <v>140</v>
      </c>
      <c r="G39" s="29">
        <v>1</v>
      </c>
      <c r="H39" s="29">
        <v>0</v>
      </c>
      <c r="I39" s="29">
        <f t="shared" si="22"/>
        <v>0</v>
      </c>
      <c r="J39" s="29">
        <f t="shared" si="23"/>
        <v>0</v>
      </c>
      <c r="K39" s="29">
        <f t="shared" si="24"/>
        <v>0</v>
      </c>
      <c r="L39" s="62"/>
      <c r="M39" s="3"/>
      <c r="Z39" s="29">
        <f t="shared" si="25"/>
        <v>0</v>
      </c>
      <c r="AB39" s="29">
        <f t="shared" si="26"/>
        <v>0</v>
      </c>
      <c r="AC39" s="29">
        <f t="shared" si="27"/>
        <v>0</v>
      </c>
      <c r="AD39" s="29">
        <f t="shared" si="28"/>
        <v>0</v>
      </c>
      <c r="AE39" s="29">
        <f t="shared" si="29"/>
        <v>0</v>
      </c>
      <c r="AF39" s="29">
        <f t="shared" si="30"/>
        <v>0</v>
      </c>
      <c r="AG39" s="29">
        <f t="shared" si="31"/>
        <v>0</v>
      </c>
      <c r="AH39" s="29">
        <f t="shared" si="32"/>
        <v>0</v>
      </c>
      <c r="AI39" s="47"/>
      <c r="AJ39" s="29">
        <f t="shared" si="33"/>
        <v>0</v>
      </c>
      <c r="AK39" s="29">
        <f t="shared" si="34"/>
        <v>0</v>
      </c>
      <c r="AL39" s="29">
        <f t="shared" si="35"/>
        <v>0</v>
      </c>
      <c r="AN39" s="29">
        <v>15</v>
      </c>
      <c r="AO39" s="29">
        <f>H39*0.213855072463768</f>
        <v>0</v>
      </c>
      <c r="AP39" s="29">
        <f>H39*(1-0.213855072463768)</f>
        <v>0</v>
      </c>
      <c r="AQ39" s="63" t="s">
        <v>132</v>
      </c>
      <c r="AV39" s="29">
        <f t="shared" si="36"/>
        <v>0</v>
      </c>
      <c r="AW39" s="29">
        <f t="shared" si="37"/>
        <v>0</v>
      </c>
      <c r="AX39" s="29">
        <f t="shared" si="38"/>
        <v>0</v>
      </c>
      <c r="AY39" s="63" t="s">
        <v>191</v>
      </c>
      <c r="AZ39" s="63" t="s">
        <v>134</v>
      </c>
      <c r="BA39" s="47" t="s">
        <v>135</v>
      </c>
      <c r="BC39" s="29">
        <f t="shared" si="39"/>
        <v>0</v>
      </c>
      <c r="BD39" s="29">
        <f t="shared" si="40"/>
        <v>0</v>
      </c>
      <c r="BE39" s="29">
        <v>0</v>
      </c>
      <c r="BF39" s="29">
        <f>39</f>
        <v>39</v>
      </c>
      <c r="BH39" s="29">
        <f t="shared" si="41"/>
        <v>0</v>
      </c>
      <c r="BI39" s="29">
        <f t="shared" si="42"/>
        <v>0</v>
      </c>
      <c r="BJ39" s="29">
        <f t="shared" si="43"/>
        <v>0</v>
      </c>
      <c r="BK39" s="29" t="s">
        <v>136</v>
      </c>
      <c r="BL39" s="29">
        <v>722</v>
      </c>
    </row>
    <row r="40" spans="1:64" ht="12.75">
      <c r="A40" s="30" t="s">
        <v>213</v>
      </c>
      <c r="B40" s="4" t="s">
        <v>214</v>
      </c>
      <c r="C40" s="87" t="s">
        <v>215</v>
      </c>
      <c r="D40" s="87"/>
      <c r="E40" s="87"/>
      <c r="F40" s="4" t="s">
        <v>140</v>
      </c>
      <c r="G40" s="29">
        <v>1</v>
      </c>
      <c r="H40" s="29">
        <v>0</v>
      </c>
      <c r="I40" s="29">
        <f t="shared" si="22"/>
        <v>0</v>
      </c>
      <c r="J40" s="29">
        <f t="shared" si="23"/>
        <v>0</v>
      </c>
      <c r="K40" s="29">
        <f t="shared" si="24"/>
        <v>0</v>
      </c>
      <c r="L40" s="62"/>
      <c r="M40" s="3"/>
      <c r="Z40" s="29">
        <f t="shared" si="25"/>
        <v>0</v>
      </c>
      <c r="AB40" s="29">
        <f t="shared" si="26"/>
        <v>0</v>
      </c>
      <c r="AC40" s="29">
        <f t="shared" si="27"/>
        <v>0</v>
      </c>
      <c r="AD40" s="29">
        <f t="shared" si="28"/>
        <v>0</v>
      </c>
      <c r="AE40" s="29">
        <f t="shared" si="29"/>
        <v>0</v>
      </c>
      <c r="AF40" s="29">
        <f t="shared" si="30"/>
        <v>0</v>
      </c>
      <c r="AG40" s="29">
        <f t="shared" si="31"/>
        <v>0</v>
      </c>
      <c r="AH40" s="29">
        <f t="shared" si="32"/>
        <v>0</v>
      </c>
      <c r="AI40" s="47"/>
      <c r="AJ40" s="29">
        <f t="shared" si="33"/>
        <v>0</v>
      </c>
      <c r="AK40" s="29">
        <f t="shared" si="34"/>
        <v>0</v>
      </c>
      <c r="AL40" s="29">
        <f t="shared" si="35"/>
        <v>0</v>
      </c>
      <c r="AN40" s="29">
        <v>15</v>
      </c>
      <c r="AO40" s="29">
        <f>H40*0.358568588469185</f>
        <v>0</v>
      </c>
      <c r="AP40" s="29">
        <f>H40*(1-0.358568588469185)</f>
        <v>0</v>
      </c>
      <c r="AQ40" s="63" t="s">
        <v>132</v>
      </c>
      <c r="AV40" s="29">
        <f t="shared" si="36"/>
        <v>0</v>
      </c>
      <c r="AW40" s="29">
        <f t="shared" si="37"/>
        <v>0</v>
      </c>
      <c r="AX40" s="29">
        <f t="shared" si="38"/>
        <v>0</v>
      </c>
      <c r="AY40" s="63" t="s">
        <v>191</v>
      </c>
      <c r="AZ40" s="63" t="s">
        <v>134</v>
      </c>
      <c r="BA40" s="47" t="s">
        <v>135</v>
      </c>
      <c r="BC40" s="29">
        <f t="shared" si="39"/>
        <v>0</v>
      </c>
      <c r="BD40" s="29">
        <f t="shared" si="40"/>
        <v>0</v>
      </c>
      <c r="BE40" s="29">
        <v>0</v>
      </c>
      <c r="BF40" s="29">
        <f>40</f>
        <v>40</v>
      </c>
      <c r="BH40" s="29">
        <f t="shared" si="41"/>
        <v>0</v>
      </c>
      <c r="BI40" s="29">
        <f t="shared" si="42"/>
        <v>0</v>
      </c>
      <c r="BJ40" s="29">
        <f t="shared" si="43"/>
        <v>0</v>
      </c>
      <c r="BK40" s="29" t="s">
        <v>136</v>
      </c>
      <c r="BL40" s="29">
        <v>722</v>
      </c>
    </row>
    <row r="41" spans="1:64" ht="12.75">
      <c r="A41" s="30" t="s">
        <v>216</v>
      </c>
      <c r="B41" s="4" t="s">
        <v>217</v>
      </c>
      <c r="C41" s="87" t="s">
        <v>218</v>
      </c>
      <c r="D41" s="87"/>
      <c r="E41" s="87"/>
      <c r="F41" s="4" t="s">
        <v>131</v>
      </c>
      <c r="G41" s="29">
        <v>55</v>
      </c>
      <c r="H41" s="29">
        <v>0</v>
      </c>
      <c r="I41" s="29">
        <f t="shared" si="22"/>
        <v>0</v>
      </c>
      <c r="J41" s="29">
        <f t="shared" si="23"/>
        <v>0</v>
      </c>
      <c r="K41" s="29">
        <f t="shared" si="24"/>
        <v>0</v>
      </c>
      <c r="L41" s="62"/>
      <c r="M41" s="3"/>
      <c r="Z41" s="29">
        <f t="shared" si="25"/>
        <v>0</v>
      </c>
      <c r="AB41" s="29">
        <f t="shared" si="26"/>
        <v>0</v>
      </c>
      <c r="AC41" s="29">
        <f t="shared" si="27"/>
        <v>0</v>
      </c>
      <c r="AD41" s="29">
        <f t="shared" si="28"/>
        <v>0</v>
      </c>
      <c r="AE41" s="29">
        <f t="shared" si="29"/>
        <v>0</v>
      </c>
      <c r="AF41" s="29">
        <f t="shared" si="30"/>
        <v>0</v>
      </c>
      <c r="AG41" s="29">
        <f t="shared" si="31"/>
        <v>0</v>
      </c>
      <c r="AH41" s="29">
        <f t="shared" si="32"/>
        <v>0</v>
      </c>
      <c r="AI41" s="47"/>
      <c r="AJ41" s="29">
        <f t="shared" si="33"/>
        <v>0</v>
      </c>
      <c r="AK41" s="29">
        <f t="shared" si="34"/>
        <v>0</v>
      </c>
      <c r="AL41" s="29">
        <f t="shared" si="35"/>
        <v>0</v>
      </c>
      <c r="AN41" s="29">
        <v>15</v>
      </c>
      <c r="AO41" s="29">
        <f>H41*0.530740242261104</f>
        <v>0</v>
      </c>
      <c r="AP41" s="29">
        <f>H41*(1-0.530740242261104)</f>
        <v>0</v>
      </c>
      <c r="AQ41" s="63" t="s">
        <v>132</v>
      </c>
      <c r="AV41" s="29">
        <f t="shared" si="36"/>
        <v>0</v>
      </c>
      <c r="AW41" s="29">
        <f t="shared" si="37"/>
        <v>0</v>
      </c>
      <c r="AX41" s="29">
        <f t="shared" si="38"/>
        <v>0</v>
      </c>
      <c r="AY41" s="63" t="s">
        <v>191</v>
      </c>
      <c r="AZ41" s="63" t="s">
        <v>134</v>
      </c>
      <c r="BA41" s="47" t="s">
        <v>135</v>
      </c>
      <c r="BC41" s="29">
        <f t="shared" si="39"/>
        <v>0</v>
      </c>
      <c r="BD41" s="29">
        <f t="shared" si="40"/>
        <v>0</v>
      </c>
      <c r="BE41" s="29">
        <v>0</v>
      </c>
      <c r="BF41" s="29">
        <f>41</f>
        <v>41</v>
      </c>
      <c r="BH41" s="29">
        <f t="shared" si="41"/>
        <v>0</v>
      </c>
      <c r="BI41" s="29">
        <f t="shared" si="42"/>
        <v>0</v>
      </c>
      <c r="BJ41" s="29">
        <f t="shared" si="43"/>
        <v>0</v>
      </c>
      <c r="BK41" s="29" t="s">
        <v>136</v>
      </c>
      <c r="BL41" s="29">
        <v>722</v>
      </c>
    </row>
    <row r="42" spans="1:64" ht="12.75">
      <c r="A42" s="30" t="s">
        <v>219</v>
      </c>
      <c r="B42" s="4" t="s">
        <v>220</v>
      </c>
      <c r="C42" s="87" t="s">
        <v>221</v>
      </c>
      <c r="D42" s="87"/>
      <c r="E42" s="87"/>
      <c r="F42" s="4" t="s">
        <v>131</v>
      </c>
      <c r="G42" s="29">
        <v>120</v>
      </c>
      <c r="H42" s="29">
        <v>0</v>
      </c>
      <c r="I42" s="29">
        <f t="shared" si="22"/>
        <v>0</v>
      </c>
      <c r="J42" s="29">
        <f t="shared" si="23"/>
        <v>0</v>
      </c>
      <c r="K42" s="29">
        <f t="shared" si="24"/>
        <v>0</v>
      </c>
      <c r="L42" s="62"/>
      <c r="M42" s="3"/>
      <c r="Z42" s="29">
        <f t="shared" si="25"/>
        <v>0</v>
      </c>
      <c r="AB42" s="29">
        <f t="shared" si="26"/>
        <v>0</v>
      </c>
      <c r="AC42" s="29">
        <f t="shared" si="27"/>
        <v>0</v>
      </c>
      <c r="AD42" s="29">
        <f t="shared" si="28"/>
        <v>0</v>
      </c>
      <c r="AE42" s="29">
        <f t="shared" si="29"/>
        <v>0</v>
      </c>
      <c r="AF42" s="29">
        <f t="shared" si="30"/>
        <v>0</v>
      </c>
      <c r="AG42" s="29">
        <f t="shared" si="31"/>
        <v>0</v>
      </c>
      <c r="AH42" s="29">
        <f t="shared" si="32"/>
        <v>0</v>
      </c>
      <c r="AI42" s="47"/>
      <c r="AJ42" s="29">
        <f t="shared" si="33"/>
        <v>0</v>
      </c>
      <c r="AK42" s="29">
        <f t="shared" si="34"/>
        <v>0</v>
      </c>
      <c r="AL42" s="29">
        <f t="shared" si="35"/>
        <v>0</v>
      </c>
      <c r="AN42" s="29">
        <v>15</v>
      </c>
      <c r="AO42" s="29">
        <f>H42*0.636342342342342</f>
        <v>0</v>
      </c>
      <c r="AP42" s="29">
        <f>H42*(1-0.636342342342342)</f>
        <v>0</v>
      </c>
      <c r="AQ42" s="63" t="s">
        <v>132</v>
      </c>
      <c r="AV42" s="29">
        <f t="shared" si="36"/>
        <v>0</v>
      </c>
      <c r="AW42" s="29">
        <f t="shared" si="37"/>
        <v>0</v>
      </c>
      <c r="AX42" s="29">
        <f t="shared" si="38"/>
        <v>0</v>
      </c>
      <c r="AY42" s="63" t="s">
        <v>191</v>
      </c>
      <c r="AZ42" s="63" t="s">
        <v>134</v>
      </c>
      <c r="BA42" s="47" t="s">
        <v>135</v>
      </c>
      <c r="BC42" s="29">
        <f t="shared" si="39"/>
        <v>0</v>
      </c>
      <c r="BD42" s="29">
        <f t="shared" si="40"/>
        <v>0</v>
      </c>
      <c r="BE42" s="29">
        <v>0</v>
      </c>
      <c r="BF42" s="29">
        <f>42</f>
        <v>42</v>
      </c>
      <c r="BH42" s="29">
        <f t="shared" si="41"/>
        <v>0</v>
      </c>
      <c r="BI42" s="29">
        <f t="shared" si="42"/>
        <v>0</v>
      </c>
      <c r="BJ42" s="29">
        <f t="shared" si="43"/>
        <v>0</v>
      </c>
      <c r="BK42" s="29" t="s">
        <v>136</v>
      </c>
      <c r="BL42" s="29">
        <v>722</v>
      </c>
    </row>
    <row r="43" spans="1:64" ht="12.75">
      <c r="A43" s="30" t="s">
        <v>222</v>
      </c>
      <c r="B43" s="4" t="s">
        <v>223</v>
      </c>
      <c r="C43" s="87" t="s">
        <v>224</v>
      </c>
      <c r="D43" s="87"/>
      <c r="E43" s="87"/>
      <c r="F43" s="4" t="s">
        <v>131</v>
      </c>
      <c r="G43" s="29">
        <v>55</v>
      </c>
      <c r="H43" s="29">
        <v>0</v>
      </c>
      <c r="I43" s="29">
        <f t="shared" si="22"/>
        <v>0</v>
      </c>
      <c r="J43" s="29">
        <f t="shared" si="23"/>
        <v>0</v>
      </c>
      <c r="K43" s="29">
        <f t="shared" si="24"/>
        <v>0</v>
      </c>
      <c r="L43" s="62"/>
      <c r="M43" s="3"/>
      <c r="Z43" s="29">
        <f t="shared" si="25"/>
        <v>0</v>
      </c>
      <c r="AB43" s="29">
        <f t="shared" si="26"/>
        <v>0</v>
      </c>
      <c r="AC43" s="29">
        <f t="shared" si="27"/>
        <v>0</v>
      </c>
      <c r="AD43" s="29">
        <f t="shared" si="28"/>
        <v>0</v>
      </c>
      <c r="AE43" s="29">
        <f t="shared" si="29"/>
        <v>0</v>
      </c>
      <c r="AF43" s="29">
        <f t="shared" si="30"/>
        <v>0</v>
      </c>
      <c r="AG43" s="29">
        <f t="shared" si="31"/>
        <v>0</v>
      </c>
      <c r="AH43" s="29">
        <f t="shared" si="32"/>
        <v>0</v>
      </c>
      <c r="AI43" s="47"/>
      <c r="AJ43" s="29">
        <f t="shared" si="33"/>
        <v>0</v>
      </c>
      <c r="AK43" s="29">
        <f t="shared" si="34"/>
        <v>0</v>
      </c>
      <c r="AL43" s="29">
        <f t="shared" si="35"/>
        <v>0</v>
      </c>
      <c r="AN43" s="29">
        <v>15</v>
      </c>
      <c r="AO43" s="29">
        <f>H43*0.295489669757605</f>
        <v>0</v>
      </c>
      <c r="AP43" s="29">
        <f>H43*(1-0.295489669757605)</f>
        <v>0</v>
      </c>
      <c r="AQ43" s="63" t="s">
        <v>132</v>
      </c>
      <c r="AV43" s="29">
        <f t="shared" si="36"/>
        <v>0</v>
      </c>
      <c r="AW43" s="29">
        <f t="shared" si="37"/>
        <v>0</v>
      </c>
      <c r="AX43" s="29">
        <f t="shared" si="38"/>
        <v>0</v>
      </c>
      <c r="AY43" s="63" t="s">
        <v>191</v>
      </c>
      <c r="AZ43" s="63" t="s">
        <v>134</v>
      </c>
      <c r="BA43" s="47" t="s">
        <v>135</v>
      </c>
      <c r="BC43" s="29">
        <f t="shared" si="39"/>
        <v>0</v>
      </c>
      <c r="BD43" s="29">
        <f t="shared" si="40"/>
        <v>0</v>
      </c>
      <c r="BE43" s="29">
        <v>0</v>
      </c>
      <c r="BF43" s="29">
        <f>43</f>
        <v>43</v>
      </c>
      <c r="BH43" s="29">
        <f t="shared" si="41"/>
        <v>0</v>
      </c>
      <c r="BI43" s="29">
        <f t="shared" si="42"/>
        <v>0</v>
      </c>
      <c r="BJ43" s="29">
        <f t="shared" si="43"/>
        <v>0</v>
      </c>
      <c r="BK43" s="29" t="s">
        <v>136</v>
      </c>
      <c r="BL43" s="29">
        <v>722</v>
      </c>
    </row>
    <row r="44" spans="1:64" ht="12.75">
      <c r="A44" s="30" t="s">
        <v>225</v>
      </c>
      <c r="B44" s="4" t="s">
        <v>226</v>
      </c>
      <c r="C44" s="87" t="s">
        <v>227</v>
      </c>
      <c r="D44" s="87"/>
      <c r="E44" s="87"/>
      <c r="F44" s="4" t="s">
        <v>131</v>
      </c>
      <c r="G44" s="29">
        <v>120</v>
      </c>
      <c r="H44" s="29">
        <v>0</v>
      </c>
      <c r="I44" s="29">
        <f t="shared" si="22"/>
        <v>0</v>
      </c>
      <c r="J44" s="29">
        <f t="shared" si="23"/>
        <v>0</v>
      </c>
      <c r="K44" s="29">
        <f t="shared" si="24"/>
        <v>0</v>
      </c>
      <c r="L44" s="62"/>
      <c r="M44" s="3"/>
      <c r="Z44" s="29">
        <f t="shared" si="25"/>
        <v>0</v>
      </c>
      <c r="AB44" s="29">
        <f t="shared" si="26"/>
        <v>0</v>
      </c>
      <c r="AC44" s="29">
        <f t="shared" si="27"/>
        <v>0</v>
      </c>
      <c r="AD44" s="29">
        <f t="shared" si="28"/>
        <v>0</v>
      </c>
      <c r="AE44" s="29">
        <f t="shared" si="29"/>
        <v>0</v>
      </c>
      <c r="AF44" s="29">
        <f t="shared" si="30"/>
        <v>0</v>
      </c>
      <c r="AG44" s="29">
        <f t="shared" si="31"/>
        <v>0</v>
      </c>
      <c r="AH44" s="29">
        <f t="shared" si="32"/>
        <v>0</v>
      </c>
      <c r="AI44" s="47"/>
      <c r="AJ44" s="29">
        <f t="shared" si="33"/>
        <v>0</v>
      </c>
      <c r="AK44" s="29">
        <f t="shared" si="34"/>
        <v>0</v>
      </c>
      <c r="AL44" s="29">
        <f t="shared" si="35"/>
        <v>0</v>
      </c>
      <c r="AN44" s="29">
        <v>15</v>
      </c>
      <c r="AO44" s="29">
        <f>H44*0.309634617288841</f>
        <v>0</v>
      </c>
      <c r="AP44" s="29">
        <f>H44*(1-0.309634617288841)</f>
        <v>0</v>
      </c>
      <c r="AQ44" s="63" t="s">
        <v>132</v>
      </c>
      <c r="AV44" s="29">
        <f t="shared" si="36"/>
        <v>0</v>
      </c>
      <c r="AW44" s="29">
        <f t="shared" si="37"/>
        <v>0</v>
      </c>
      <c r="AX44" s="29">
        <f t="shared" si="38"/>
        <v>0</v>
      </c>
      <c r="AY44" s="63" t="s">
        <v>191</v>
      </c>
      <c r="AZ44" s="63" t="s">
        <v>134</v>
      </c>
      <c r="BA44" s="47" t="s">
        <v>135</v>
      </c>
      <c r="BC44" s="29">
        <f t="shared" si="39"/>
        <v>0</v>
      </c>
      <c r="BD44" s="29">
        <f t="shared" si="40"/>
        <v>0</v>
      </c>
      <c r="BE44" s="29">
        <v>0</v>
      </c>
      <c r="BF44" s="29">
        <f>44</f>
        <v>44</v>
      </c>
      <c r="BH44" s="29">
        <f t="shared" si="41"/>
        <v>0</v>
      </c>
      <c r="BI44" s="29">
        <f t="shared" si="42"/>
        <v>0</v>
      </c>
      <c r="BJ44" s="29">
        <f t="shared" si="43"/>
        <v>0</v>
      </c>
      <c r="BK44" s="29" t="s">
        <v>136</v>
      </c>
      <c r="BL44" s="29">
        <v>722</v>
      </c>
    </row>
    <row r="45" spans="1:64" ht="12.75">
      <c r="A45" s="30" t="s">
        <v>228</v>
      </c>
      <c r="B45" s="4" t="s">
        <v>229</v>
      </c>
      <c r="C45" s="87" t="s">
        <v>230</v>
      </c>
      <c r="D45" s="87"/>
      <c r="E45" s="87"/>
      <c r="F45" s="4" t="s">
        <v>140</v>
      </c>
      <c r="G45" s="29">
        <v>1</v>
      </c>
      <c r="H45" s="29">
        <v>0</v>
      </c>
      <c r="I45" s="29">
        <f t="shared" si="22"/>
        <v>0</v>
      </c>
      <c r="J45" s="29">
        <f t="shared" si="23"/>
        <v>0</v>
      </c>
      <c r="K45" s="29">
        <f t="shared" si="24"/>
        <v>0</v>
      </c>
      <c r="L45" s="62"/>
      <c r="M45" s="3"/>
      <c r="Z45" s="29">
        <f t="shared" si="25"/>
        <v>0</v>
      </c>
      <c r="AB45" s="29">
        <f t="shared" si="26"/>
        <v>0</v>
      </c>
      <c r="AC45" s="29">
        <f t="shared" si="27"/>
        <v>0</v>
      </c>
      <c r="AD45" s="29">
        <f t="shared" si="28"/>
        <v>0</v>
      </c>
      <c r="AE45" s="29">
        <f t="shared" si="29"/>
        <v>0</v>
      </c>
      <c r="AF45" s="29">
        <f t="shared" si="30"/>
        <v>0</v>
      </c>
      <c r="AG45" s="29">
        <f t="shared" si="31"/>
        <v>0</v>
      </c>
      <c r="AH45" s="29">
        <f t="shared" si="32"/>
        <v>0</v>
      </c>
      <c r="AI45" s="47"/>
      <c r="AJ45" s="29">
        <f t="shared" si="33"/>
        <v>0</v>
      </c>
      <c r="AK45" s="29">
        <f t="shared" si="34"/>
        <v>0</v>
      </c>
      <c r="AL45" s="29">
        <f t="shared" si="35"/>
        <v>0</v>
      </c>
      <c r="AN45" s="29">
        <v>15</v>
      </c>
      <c r="AO45" s="29">
        <f>H45*0.833274021352313</f>
        <v>0</v>
      </c>
      <c r="AP45" s="29">
        <f>H45*(1-0.833274021352313)</f>
        <v>0</v>
      </c>
      <c r="AQ45" s="63" t="s">
        <v>132</v>
      </c>
      <c r="AV45" s="29">
        <f t="shared" si="36"/>
        <v>0</v>
      </c>
      <c r="AW45" s="29">
        <f t="shared" si="37"/>
        <v>0</v>
      </c>
      <c r="AX45" s="29">
        <f t="shared" si="38"/>
        <v>0</v>
      </c>
      <c r="AY45" s="63" t="s">
        <v>191</v>
      </c>
      <c r="AZ45" s="63" t="s">
        <v>134</v>
      </c>
      <c r="BA45" s="47" t="s">
        <v>135</v>
      </c>
      <c r="BC45" s="29">
        <f t="shared" si="39"/>
        <v>0</v>
      </c>
      <c r="BD45" s="29">
        <f t="shared" si="40"/>
        <v>0</v>
      </c>
      <c r="BE45" s="29">
        <v>0</v>
      </c>
      <c r="BF45" s="29">
        <f>45</f>
        <v>45</v>
      </c>
      <c r="BH45" s="29">
        <f t="shared" si="41"/>
        <v>0</v>
      </c>
      <c r="BI45" s="29">
        <f t="shared" si="42"/>
        <v>0</v>
      </c>
      <c r="BJ45" s="29">
        <f t="shared" si="43"/>
        <v>0</v>
      </c>
      <c r="BK45" s="29" t="s">
        <v>136</v>
      </c>
      <c r="BL45" s="29">
        <v>722</v>
      </c>
    </row>
    <row r="46" spans="1:64" ht="12.75">
      <c r="A46" s="30" t="s">
        <v>231</v>
      </c>
      <c r="B46" s="4" t="s">
        <v>232</v>
      </c>
      <c r="C46" s="87" t="s">
        <v>233</v>
      </c>
      <c r="D46" s="87"/>
      <c r="E46" s="87"/>
      <c r="F46" s="4" t="s">
        <v>140</v>
      </c>
      <c r="G46" s="29">
        <v>1</v>
      </c>
      <c r="H46" s="29">
        <v>0</v>
      </c>
      <c r="I46" s="29">
        <f t="shared" si="22"/>
        <v>0</v>
      </c>
      <c r="J46" s="29">
        <f t="shared" si="23"/>
        <v>0</v>
      </c>
      <c r="K46" s="29">
        <f t="shared" si="24"/>
        <v>0</v>
      </c>
      <c r="L46" s="62"/>
      <c r="M46" s="3"/>
      <c r="Z46" s="29">
        <f t="shared" si="25"/>
        <v>0</v>
      </c>
      <c r="AB46" s="29">
        <f t="shared" si="26"/>
        <v>0</v>
      </c>
      <c r="AC46" s="29">
        <f t="shared" si="27"/>
        <v>0</v>
      </c>
      <c r="AD46" s="29">
        <f t="shared" si="28"/>
        <v>0</v>
      </c>
      <c r="AE46" s="29">
        <f t="shared" si="29"/>
        <v>0</v>
      </c>
      <c r="AF46" s="29">
        <f t="shared" si="30"/>
        <v>0</v>
      </c>
      <c r="AG46" s="29">
        <f t="shared" si="31"/>
        <v>0</v>
      </c>
      <c r="AH46" s="29">
        <f t="shared" si="32"/>
        <v>0</v>
      </c>
      <c r="AI46" s="47"/>
      <c r="AJ46" s="29">
        <f t="shared" si="33"/>
        <v>0</v>
      </c>
      <c r="AK46" s="29">
        <f t="shared" si="34"/>
        <v>0</v>
      </c>
      <c r="AL46" s="29">
        <f t="shared" si="35"/>
        <v>0</v>
      </c>
      <c r="AN46" s="29">
        <v>15</v>
      </c>
      <c r="AO46" s="29">
        <f>H46*0.854223684210526</f>
        <v>0</v>
      </c>
      <c r="AP46" s="29">
        <f>H46*(1-0.854223684210526)</f>
        <v>0</v>
      </c>
      <c r="AQ46" s="63" t="s">
        <v>132</v>
      </c>
      <c r="AV46" s="29">
        <f t="shared" si="36"/>
        <v>0</v>
      </c>
      <c r="AW46" s="29">
        <f t="shared" si="37"/>
        <v>0</v>
      </c>
      <c r="AX46" s="29">
        <f t="shared" si="38"/>
        <v>0</v>
      </c>
      <c r="AY46" s="63" t="s">
        <v>191</v>
      </c>
      <c r="AZ46" s="63" t="s">
        <v>134</v>
      </c>
      <c r="BA46" s="47" t="s">
        <v>135</v>
      </c>
      <c r="BC46" s="29">
        <f t="shared" si="39"/>
        <v>0</v>
      </c>
      <c r="BD46" s="29">
        <f t="shared" si="40"/>
        <v>0</v>
      </c>
      <c r="BE46" s="29">
        <v>0</v>
      </c>
      <c r="BF46" s="29">
        <f>46</f>
        <v>46</v>
      </c>
      <c r="BH46" s="29">
        <f t="shared" si="41"/>
        <v>0</v>
      </c>
      <c r="BI46" s="29">
        <f t="shared" si="42"/>
        <v>0</v>
      </c>
      <c r="BJ46" s="29">
        <f t="shared" si="43"/>
        <v>0</v>
      </c>
      <c r="BK46" s="29" t="s">
        <v>136</v>
      </c>
      <c r="BL46" s="29">
        <v>722</v>
      </c>
    </row>
    <row r="47" spans="1:64" ht="12.75">
      <c r="A47" s="30" t="s">
        <v>234</v>
      </c>
      <c r="B47" s="4" t="s">
        <v>235</v>
      </c>
      <c r="C47" s="87" t="s">
        <v>236</v>
      </c>
      <c r="D47" s="87"/>
      <c r="E47" s="87"/>
      <c r="F47" s="4" t="s">
        <v>140</v>
      </c>
      <c r="G47" s="29">
        <v>18</v>
      </c>
      <c r="H47" s="29">
        <v>0</v>
      </c>
      <c r="I47" s="29">
        <f t="shared" si="22"/>
        <v>0</v>
      </c>
      <c r="J47" s="29">
        <f t="shared" si="23"/>
        <v>0</v>
      </c>
      <c r="K47" s="29">
        <f t="shared" si="24"/>
        <v>0</v>
      </c>
      <c r="L47" s="62"/>
      <c r="M47" s="3"/>
      <c r="Z47" s="29">
        <f t="shared" si="25"/>
        <v>0</v>
      </c>
      <c r="AB47" s="29">
        <f t="shared" si="26"/>
        <v>0</v>
      </c>
      <c r="AC47" s="29">
        <f t="shared" si="27"/>
        <v>0</v>
      </c>
      <c r="AD47" s="29">
        <f t="shared" si="28"/>
        <v>0</v>
      </c>
      <c r="AE47" s="29">
        <f t="shared" si="29"/>
        <v>0</v>
      </c>
      <c r="AF47" s="29">
        <f t="shared" si="30"/>
        <v>0</v>
      </c>
      <c r="AG47" s="29">
        <f t="shared" si="31"/>
        <v>0</v>
      </c>
      <c r="AH47" s="29">
        <f t="shared" si="32"/>
        <v>0</v>
      </c>
      <c r="AI47" s="47"/>
      <c r="AJ47" s="29">
        <f t="shared" si="33"/>
        <v>0</v>
      </c>
      <c r="AK47" s="29">
        <f t="shared" si="34"/>
        <v>0</v>
      </c>
      <c r="AL47" s="29">
        <f t="shared" si="35"/>
        <v>0</v>
      </c>
      <c r="AN47" s="29">
        <v>15</v>
      </c>
      <c r="AO47" s="29">
        <f>H47*0.807205879501251</f>
        <v>0</v>
      </c>
      <c r="AP47" s="29">
        <f>H47*(1-0.807205879501251)</f>
        <v>0</v>
      </c>
      <c r="AQ47" s="63" t="s">
        <v>132</v>
      </c>
      <c r="AV47" s="29">
        <f t="shared" si="36"/>
        <v>0</v>
      </c>
      <c r="AW47" s="29">
        <f t="shared" si="37"/>
        <v>0</v>
      </c>
      <c r="AX47" s="29">
        <f t="shared" si="38"/>
        <v>0</v>
      </c>
      <c r="AY47" s="63" t="s">
        <v>191</v>
      </c>
      <c r="AZ47" s="63" t="s">
        <v>134</v>
      </c>
      <c r="BA47" s="47" t="s">
        <v>135</v>
      </c>
      <c r="BC47" s="29">
        <f t="shared" si="39"/>
        <v>0</v>
      </c>
      <c r="BD47" s="29">
        <f t="shared" si="40"/>
        <v>0</v>
      </c>
      <c r="BE47" s="29">
        <v>0</v>
      </c>
      <c r="BF47" s="29">
        <f>47</f>
        <v>47</v>
      </c>
      <c r="BH47" s="29">
        <f t="shared" si="41"/>
        <v>0</v>
      </c>
      <c r="BI47" s="29">
        <f t="shared" si="42"/>
        <v>0</v>
      </c>
      <c r="BJ47" s="29">
        <f t="shared" si="43"/>
        <v>0</v>
      </c>
      <c r="BK47" s="29" t="s">
        <v>136</v>
      </c>
      <c r="BL47" s="29">
        <v>722</v>
      </c>
    </row>
    <row r="48" spans="1:64" ht="12.75">
      <c r="A48" s="30" t="s">
        <v>237</v>
      </c>
      <c r="B48" s="4" t="s">
        <v>238</v>
      </c>
      <c r="C48" s="87" t="s">
        <v>239</v>
      </c>
      <c r="D48" s="87"/>
      <c r="E48" s="87"/>
      <c r="F48" s="4" t="s">
        <v>140</v>
      </c>
      <c r="G48" s="29">
        <v>2</v>
      </c>
      <c r="H48" s="29">
        <v>0</v>
      </c>
      <c r="I48" s="29">
        <f t="shared" si="22"/>
        <v>0</v>
      </c>
      <c r="J48" s="29">
        <f t="shared" si="23"/>
        <v>0</v>
      </c>
      <c r="K48" s="29">
        <f t="shared" si="24"/>
        <v>0</v>
      </c>
      <c r="L48" s="62"/>
      <c r="M48" s="3"/>
      <c r="Z48" s="29">
        <f t="shared" si="25"/>
        <v>0</v>
      </c>
      <c r="AB48" s="29">
        <f t="shared" si="26"/>
        <v>0</v>
      </c>
      <c r="AC48" s="29">
        <f t="shared" si="27"/>
        <v>0</v>
      </c>
      <c r="AD48" s="29">
        <f t="shared" si="28"/>
        <v>0</v>
      </c>
      <c r="AE48" s="29">
        <f t="shared" si="29"/>
        <v>0</v>
      </c>
      <c r="AF48" s="29">
        <f t="shared" si="30"/>
        <v>0</v>
      </c>
      <c r="AG48" s="29">
        <f t="shared" si="31"/>
        <v>0</v>
      </c>
      <c r="AH48" s="29">
        <f t="shared" si="32"/>
        <v>0</v>
      </c>
      <c r="AI48" s="47"/>
      <c r="AJ48" s="29">
        <f t="shared" si="33"/>
        <v>0</v>
      </c>
      <c r="AK48" s="29">
        <f t="shared" si="34"/>
        <v>0</v>
      </c>
      <c r="AL48" s="29">
        <f t="shared" si="35"/>
        <v>0</v>
      </c>
      <c r="AN48" s="29">
        <v>15</v>
      </c>
      <c r="AO48" s="29">
        <f>H48*0.834918032786885</f>
        <v>0</v>
      </c>
      <c r="AP48" s="29">
        <f>H48*(1-0.834918032786885)</f>
        <v>0</v>
      </c>
      <c r="AQ48" s="63" t="s">
        <v>132</v>
      </c>
      <c r="AV48" s="29">
        <f t="shared" si="36"/>
        <v>0</v>
      </c>
      <c r="AW48" s="29">
        <f t="shared" si="37"/>
        <v>0</v>
      </c>
      <c r="AX48" s="29">
        <f t="shared" si="38"/>
        <v>0</v>
      </c>
      <c r="AY48" s="63" t="s">
        <v>191</v>
      </c>
      <c r="AZ48" s="63" t="s">
        <v>134</v>
      </c>
      <c r="BA48" s="47" t="s">
        <v>135</v>
      </c>
      <c r="BC48" s="29">
        <f t="shared" si="39"/>
        <v>0</v>
      </c>
      <c r="BD48" s="29">
        <f t="shared" si="40"/>
        <v>0</v>
      </c>
      <c r="BE48" s="29">
        <v>0</v>
      </c>
      <c r="BF48" s="29">
        <f>48</f>
        <v>48</v>
      </c>
      <c r="BH48" s="29">
        <f t="shared" si="41"/>
        <v>0</v>
      </c>
      <c r="BI48" s="29">
        <f t="shared" si="42"/>
        <v>0</v>
      </c>
      <c r="BJ48" s="29">
        <f t="shared" si="43"/>
        <v>0</v>
      </c>
      <c r="BK48" s="29" t="s">
        <v>136</v>
      </c>
      <c r="BL48" s="29">
        <v>722</v>
      </c>
    </row>
    <row r="49" spans="1:64" ht="12.75">
      <c r="A49" s="30" t="s">
        <v>240</v>
      </c>
      <c r="B49" s="4" t="s">
        <v>241</v>
      </c>
      <c r="C49" s="87" t="s">
        <v>242</v>
      </c>
      <c r="D49" s="87"/>
      <c r="E49" s="87"/>
      <c r="F49" s="4" t="s">
        <v>140</v>
      </c>
      <c r="G49" s="29">
        <v>6</v>
      </c>
      <c r="H49" s="29">
        <v>0</v>
      </c>
      <c r="I49" s="29">
        <f t="shared" si="22"/>
        <v>0</v>
      </c>
      <c r="J49" s="29">
        <f t="shared" si="23"/>
        <v>0</v>
      </c>
      <c r="K49" s="29">
        <f t="shared" si="24"/>
        <v>0</v>
      </c>
      <c r="L49" s="62"/>
      <c r="M49" s="3"/>
      <c r="Z49" s="29">
        <f t="shared" si="25"/>
        <v>0</v>
      </c>
      <c r="AB49" s="29">
        <f t="shared" si="26"/>
        <v>0</v>
      </c>
      <c r="AC49" s="29">
        <f t="shared" si="27"/>
        <v>0</v>
      </c>
      <c r="AD49" s="29">
        <f t="shared" si="28"/>
        <v>0</v>
      </c>
      <c r="AE49" s="29">
        <f t="shared" si="29"/>
        <v>0</v>
      </c>
      <c r="AF49" s="29">
        <f t="shared" si="30"/>
        <v>0</v>
      </c>
      <c r="AG49" s="29">
        <f t="shared" si="31"/>
        <v>0</v>
      </c>
      <c r="AH49" s="29">
        <f t="shared" si="32"/>
        <v>0</v>
      </c>
      <c r="AI49" s="47"/>
      <c r="AJ49" s="29">
        <f t="shared" si="33"/>
        <v>0</v>
      </c>
      <c r="AK49" s="29">
        <f t="shared" si="34"/>
        <v>0</v>
      </c>
      <c r="AL49" s="29">
        <f t="shared" si="35"/>
        <v>0</v>
      </c>
      <c r="AN49" s="29">
        <v>15</v>
      </c>
      <c r="AO49" s="29">
        <f>H49*0.81308553540709</f>
        <v>0</v>
      </c>
      <c r="AP49" s="29">
        <f>H49*(1-0.81308553540709)</f>
        <v>0</v>
      </c>
      <c r="AQ49" s="63" t="s">
        <v>132</v>
      </c>
      <c r="AV49" s="29">
        <f t="shared" si="36"/>
        <v>0</v>
      </c>
      <c r="AW49" s="29">
        <f t="shared" si="37"/>
        <v>0</v>
      </c>
      <c r="AX49" s="29">
        <f t="shared" si="38"/>
        <v>0</v>
      </c>
      <c r="AY49" s="63" t="s">
        <v>191</v>
      </c>
      <c r="AZ49" s="63" t="s">
        <v>134</v>
      </c>
      <c r="BA49" s="47" t="s">
        <v>135</v>
      </c>
      <c r="BC49" s="29">
        <f t="shared" si="39"/>
        <v>0</v>
      </c>
      <c r="BD49" s="29">
        <f t="shared" si="40"/>
        <v>0</v>
      </c>
      <c r="BE49" s="29">
        <v>0</v>
      </c>
      <c r="BF49" s="29">
        <f>49</f>
        <v>49</v>
      </c>
      <c r="BH49" s="29">
        <f t="shared" si="41"/>
        <v>0</v>
      </c>
      <c r="BI49" s="29">
        <f t="shared" si="42"/>
        <v>0</v>
      </c>
      <c r="BJ49" s="29">
        <f t="shared" si="43"/>
        <v>0</v>
      </c>
      <c r="BK49" s="29" t="s">
        <v>136</v>
      </c>
      <c r="BL49" s="29">
        <v>722</v>
      </c>
    </row>
    <row r="50" spans="1:64" ht="12.75">
      <c r="A50" s="30" t="s">
        <v>243</v>
      </c>
      <c r="B50" s="4" t="s">
        <v>244</v>
      </c>
      <c r="C50" s="87" t="s">
        <v>245</v>
      </c>
      <c r="D50" s="87"/>
      <c r="E50" s="87"/>
      <c r="F50" s="4" t="s">
        <v>140</v>
      </c>
      <c r="G50" s="29">
        <v>36</v>
      </c>
      <c r="H50" s="29">
        <v>0</v>
      </c>
      <c r="I50" s="29">
        <f t="shared" si="22"/>
        <v>0</v>
      </c>
      <c r="J50" s="29">
        <f t="shared" si="23"/>
        <v>0</v>
      </c>
      <c r="K50" s="29">
        <f t="shared" si="24"/>
        <v>0</v>
      </c>
      <c r="L50" s="62"/>
      <c r="M50" s="3"/>
      <c r="Z50" s="29">
        <f t="shared" si="25"/>
        <v>0</v>
      </c>
      <c r="AB50" s="29">
        <f t="shared" si="26"/>
        <v>0</v>
      </c>
      <c r="AC50" s="29">
        <f t="shared" si="27"/>
        <v>0</v>
      </c>
      <c r="AD50" s="29">
        <f t="shared" si="28"/>
        <v>0</v>
      </c>
      <c r="AE50" s="29">
        <f t="shared" si="29"/>
        <v>0</v>
      </c>
      <c r="AF50" s="29">
        <f t="shared" si="30"/>
        <v>0</v>
      </c>
      <c r="AG50" s="29">
        <f t="shared" si="31"/>
        <v>0</v>
      </c>
      <c r="AH50" s="29">
        <f t="shared" si="32"/>
        <v>0</v>
      </c>
      <c r="AI50" s="47"/>
      <c r="AJ50" s="29">
        <f t="shared" si="33"/>
        <v>0</v>
      </c>
      <c r="AK50" s="29">
        <f t="shared" si="34"/>
        <v>0</v>
      </c>
      <c r="AL50" s="29">
        <f t="shared" si="35"/>
        <v>0</v>
      </c>
      <c r="AN50" s="29">
        <v>15</v>
      </c>
      <c r="AO50" s="29">
        <f>H50*0.654700854700855</f>
        <v>0</v>
      </c>
      <c r="AP50" s="29">
        <f>H50*(1-0.654700854700855)</f>
        <v>0</v>
      </c>
      <c r="AQ50" s="63" t="s">
        <v>132</v>
      </c>
      <c r="AV50" s="29">
        <f t="shared" si="36"/>
        <v>0</v>
      </c>
      <c r="AW50" s="29">
        <f t="shared" si="37"/>
        <v>0</v>
      </c>
      <c r="AX50" s="29">
        <f t="shared" si="38"/>
        <v>0</v>
      </c>
      <c r="AY50" s="63" t="s">
        <v>191</v>
      </c>
      <c r="AZ50" s="63" t="s">
        <v>134</v>
      </c>
      <c r="BA50" s="47" t="s">
        <v>135</v>
      </c>
      <c r="BC50" s="29">
        <f t="shared" si="39"/>
        <v>0</v>
      </c>
      <c r="BD50" s="29">
        <f t="shared" si="40"/>
        <v>0</v>
      </c>
      <c r="BE50" s="29">
        <v>0</v>
      </c>
      <c r="BF50" s="29">
        <f>50</f>
        <v>50</v>
      </c>
      <c r="BH50" s="29">
        <f t="shared" si="41"/>
        <v>0</v>
      </c>
      <c r="BI50" s="29">
        <f t="shared" si="42"/>
        <v>0</v>
      </c>
      <c r="BJ50" s="29">
        <f t="shared" si="43"/>
        <v>0</v>
      </c>
      <c r="BK50" s="29" t="s">
        <v>136</v>
      </c>
      <c r="BL50" s="29">
        <v>722</v>
      </c>
    </row>
    <row r="51" spans="1:64" ht="12.75">
      <c r="A51" s="30" t="s">
        <v>246</v>
      </c>
      <c r="B51" s="4" t="s">
        <v>247</v>
      </c>
      <c r="C51" s="87" t="s">
        <v>248</v>
      </c>
      <c r="D51" s="87"/>
      <c r="E51" s="87"/>
      <c r="F51" s="4" t="s">
        <v>140</v>
      </c>
      <c r="G51" s="29">
        <v>28</v>
      </c>
      <c r="H51" s="29">
        <v>0</v>
      </c>
      <c r="I51" s="29">
        <f t="shared" si="22"/>
        <v>0</v>
      </c>
      <c r="J51" s="29">
        <f t="shared" si="23"/>
        <v>0</v>
      </c>
      <c r="K51" s="29">
        <f t="shared" si="24"/>
        <v>0</v>
      </c>
      <c r="L51" s="62"/>
      <c r="M51" s="3"/>
      <c r="Z51" s="29">
        <f t="shared" si="25"/>
        <v>0</v>
      </c>
      <c r="AB51" s="29">
        <f t="shared" si="26"/>
        <v>0</v>
      </c>
      <c r="AC51" s="29">
        <f t="shared" si="27"/>
        <v>0</v>
      </c>
      <c r="AD51" s="29">
        <f t="shared" si="28"/>
        <v>0</v>
      </c>
      <c r="AE51" s="29">
        <f t="shared" si="29"/>
        <v>0</v>
      </c>
      <c r="AF51" s="29">
        <f t="shared" si="30"/>
        <v>0</v>
      </c>
      <c r="AG51" s="29">
        <f t="shared" si="31"/>
        <v>0</v>
      </c>
      <c r="AH51" s="29">
        <f t="shared" si="32"/>
        <v>0</v>
      </c>
      <c r="AI51" s="47"/>
      <c r="AJ51" s="29">
        <f t="shared" si="33"/>
        <v>0</v>
      </c>
      <c r="AK51" s="29">
        <f t="shared" si="34"/>
        <v>0</v>
      </c>
      <c r="AL51" s="29">
        <f t="shared" si="35"/>
        <v>0</v>
      </c>
      <c r="AN51" s="29">
        <v>15</v>
      </c>
      <c r="AO51" s="29">
        <f>H51*1</f>
        <v>0</v>
      </c>
      <c r="AP51" s="29">
        <f>H51*(1-1)</f>
        <v>0</v>
      </c>
      <c r="AQ51" s="63" t="s">
        <v>132</v>
      </c>
      <c r="AV51" s="29">
        <f t="shared" si="36"/>
        <v>0</v>
      </c>
      <c r="AW51" s="29">
        <f t="shared" si="37"/>
        <v>0</v>
      </c>
      <c r="AX51" s="29">
        <f t="shared" si="38"/>
        <v>0</v>
      </c>
      <c r="AY51" s="63" t="s">
        <v>191</v>
      </c>
      <c r="AZ51" s="63" t="s">
        <v>134</v>
      </c>
      <c r="BA51" s="47" t="s">
        <v>135</v>
      </c>
      <c r="BC51" s="29">
        <f t="shared" si="39"/>
        <v>0</v>
      </c>
      <c r="BD51" s="29">
        <f t="shared" si="40"/>
        <v>0</v>
      </c>
      <c r="BE51" s="29">
        <v>0</v>
      </c>
      <c r="BF51" s="29">
        <f>51</f>
        <v>51</v>
      </c>
      <c r="BH51" s="29">
        <f t="shared" si="41"/>
        <v>0</v>
      </c>
      <c r="BI51" s="29">
        <f t="shared" si="42"/>
        <v>0</v>
      </c>
      <c r="BJ51" s="29">
        <f t="shared" si="43"/>
        <v>0</v>
      </c>
      <c r="BK51" s="29" t="s">
        <v>163</v>
      </c>
      <c r="BL51" s="29">
        <v>722</v>
      </c>
    </row>
    <row r="52" spans="1:64" ht="12.75">
      <c r="A52" s="30" t="s">
        <v>249</v>
      </c>
      <c r="B52" s="4" t="s">
        <v>250</v>
      </c>
      <c r="C52" s="87" t="s">
        <v>251</v>
      </c>
      <c r="D52" s="87"/>
      <c r="E52" s="87"/>
      <c r="F52" s="4" t="s">
        <v>140</v>
      </c>
      <c r="G52" s="29">
        <v>59</v>
      </c>
      <c r="H52" s="29">
        <v>0</v>
      </c>
      <c r="I52" s="29">
        <f t="shared" si="22"/>
        <v>0</v>
      </c>
      <c r="J52" s="29">
        <f t="shared" si="23"/>
        <v>0</v>
      </c>
      <c r="K52" s="29">
        <f t="shared" si="24"/>
        <v>0</v>
      </c>
      <c r="L52" s="62"/>
      <c r="M52" s="3"/>
      <c r="Z52" s="29">
        <f t="shared" si="25"/>
        <v>0</v>
      </c>
      <c r="AB52" s="29">
        <f t="shared" si="26"/>
        <v>0</v>
      </c>
      <c r="AC52" s="29">
        <f t="shared" si="27"/>
        <v>0</v>
      </c>
      <c r="AD52" s="29">
        <f t="shared" si="28"/>
        <v>0</v>
      </c>
      <c r="AE52" s="29">
        <f t="shared" si="29"/>
        <v>0</v>
      </c>
      <c r="AF52" s="29">
        <f t="shared" si="30"/>
        <v>0</v>
      </c>
      <c r="AG52" s="29">
        <f t="shared" si="31"/>
        <v>0</v>
      </c>
      <c r="AH52" s="29">
        <f t="shared" si="32"/>
        <v>0</v>
      </c>
      <c r="AI52" s="47"/>
      <c r="AJ52" s="29">
        <f t="shared" si="33"/>
        <v>0</v>
      </c>
      <c r="AK52" s="29">
        <f t="shared" si="34"/>
        <v>0</v>
      </c>
      <c r="AL52" s="29">
        <f t="shared" si="35"/>
        <v>0</v>
      </c>
      <c r="AN52" s="29">
        <v>15</v>
      </c>
      <c r="AO52" s="29">
        <f>H52*1</f>
        <v>0</v>
      </c>
      <c r="AP52" s="29">
        <f>H52*(1-1)</f>
        <v>0</v>
      </c>
      <c r="AQ52" s="63" t="s">
        <v>132</v>
      </c>
      <c r="AV52" s="29">
        <f t="shared" si="36"/>
        <v>0</v>
      </c>
      <c r="AW52" s="29">
        <f t="shared" si="37"/>
        <v>0</v>
      </c>
      <c r="AX52" s="29">
        <f t="shared" si="38"/>
        <v>0</v>
      </c>
      <c r="AY52" s="63" t="s">
        <v>191</v>
      </c>
      <c r="AZ52" s="63" t="s">
        <v>134</v>
      </c>
      <c r="BA52" s="47" t="s">
        <v>135</v>
      </c>
      <c r="BC52" s="29">
        <f t="shared" si="39"/>
        <v>0</v>
      </c>
      <c r="BD52" s="29">
        <f t="shared" si="40"/>
        <v>0</v>
      </c>
      <c r="BE52" s="29">
        <v>0</v>
      </c>
      <c r="BF52" s="29">
        <f>52</f>
        <v>52</v>
      </c>
      <c r="BH52" s="29">
        <f t="shared" si="41"/>
        <v>0</v>
      </c>
      <c r="BI52" s="29">
        <f t="shared" si="42"/>
        <v>0</v>
      </c>
      <c r="BJ52" s="29">
        <f t="shared" si="43"/>
        <v>0</v>
      </c>
      <c r="BK52" s="29" t="s">
        <v>163</v>
      </c>
      <c r="BL52" s="29">
        <v>722</v>
      </c>
    </row>
    <row r="53" spans="1:64" ht="12.75">
      <c r="A53" s="30" t="s">
        <v>252</v>
      </c>
      <c r="B53" s="4" t="s">
        <v>253</v>
      </c>
      <c r="C53" s="87" t="s">
        <v>254</v>
      </c>
      <c r="D53" s="87"/>
      <c r="E53" s="87"/>
      <c r="F53" s="4" t="s">
        <v>131</v>
      </c>
      <c r="G53" s="29">
        <v>55</v>
      </c>
      <c r="H53" s="29">
        <v>0</v>
      </c>
      <c r="I53" s="29">
        <f t="shared" si="22"/>
        <v>0</v>
      </c>
      <c r="J53" s="29">
        <f t="shared" si="23"/>
        <v>0</v>
      </c>
      <c r="K53" s="29">
        <f t="shared" si="24"/>
        <v>0</v>
      </c>
      <c r="L53" s="62"/>
      <c r="M53" s="3"/>
      <c r="Z53" s="29">
        <f t="shared" si="25"/>
        <v>0</v>
      </c>
      <c r="AB53" s="29">
        <f t="shared" si="26"/>
        <v>0</v>
      </c>
      <c r="AC53" s="29">
        <f t="shared" si="27"/>
        <v>0</v>
      </c>
      <c r="AD53" s="29">
        <f t="shared" si="28"/>
        <v>0</v>
      </c>
      <c r="AE53" s="29">
        <f t="shared" si="29"/>
        <v>0</v>
      </c>
      <c r="AF53" s="29">
        <f t="shared" si="30"/>
        <v>0</v>
      </c>
      <c r="AG53" s="29">
        <f t="shared" si="31"/>
        <v>0</v>
      </c>
      <c r="AH53" s="29">
        <f t="shared" si="32"/>
        <v>0</v>
      </c>
      <c r="AI53" s="47"/>
      <c r="AJ53" s="29">
        <f t="shared" si="33"/>
        <v>0</v>
      </c>
      <c r="AK53" s="29">
        <f t="shared" si="34"/>
        <v>0</v>
      </c>
      <c r="AL53" s="29">
        <f t="shared" si="35"/>
        <v>0</v>
      </c>
      <c r="AN53" s="29">
        <v>15</v>
      </c>
      <c r="AO53" s="29">
        <f>H53*0.0146946564885496</f>
        <v>0</v>
      </c>
      <c r="AP53" s="29">
        <f>H53*(1-0.0146946564885496)</f>
        <v>0</v>
      </c>
      <c r="AQ53" s="63" t="s">
        <v>132</v>
      </c>
      <c r="AV53" s="29">
        <f t="shared" si="36"/>
        <v>0</v>
      </c>
      <c r="AW53" s="29">
        <f t="shared" si="37"/>
        <v>0</v>
      </c>
      <c r="AX53" s="29">
        <f t="shared" si="38"/>
        <v>0</v>
      </c>
      <c r="AY53" s="63" t="s">
        <v>191</v>
      </c>
      <c r="AZ53" s="63" t="s">
        <v>134</v>
      </c>
      <c r="BA53" s="47" t="s">
        <v>135</v>
      </c>
      <c r="BC53" s="29">
        <f t="shared" si="39"/>
        <v>0</v>
      </c>
      <c r="BD53" s="29">
        <f t="shared" si="40"/>
        <v>0</v>
      </c>
      <c r="BE53" s="29">
        <v>0</v>
      </c>
      <c r="BF53" s="29">
        <f>53</f>
        <v>53</v>
      </c>
      <c r="BH53" s="29">
        <f t="shared" si="41"/>
        <v>0</v>
      </c>
      <c r="BI53" s="29">
        <f t="shared" si="42"/>
        <v>0</v>
      </c>
      <c r="BJ53" s="29">
        <f t="shared" si="43"/>
        <v>0</v>
      </c>
      <c r="BK53" s="29" t="s">
        <v>136</v>
      </c>
      <c r="BL53" s="29">
        <v>722</v>
      </c>
    </row>
    <row r="54" spans="1:64" ht="12.75">
      <c r="A54" s="30" t="s">
        <v>255</v>
      </c>
      <c r="B54" s="4" t="s">
        <v>256</v>
      </c>
      <c r="C54" s="87" t="s">
        <v>257</v>
      </c>
      <c r="D54" s="87"/>
      <c r="E54" s="87"/>
      <c r="F54" s="4" t="s">
        <v>131</v>
      </c>
      <c r="G54" s="29">
        <v>120</v>
      </c>
      <c r="H54" s="29">
        <v>0</v>
      </c>
      <c r="I54" s="29">
        <f t="shared" si="22"/>
        <v>0</v>
      </c>
      <c r="J54" s="29">
        <f t="shared" si="23"/>
        <v>0</v>
      </c>
      <c r="K54" s="29">
        <f t="shared" si="24"/>
        <v>0</v>
      </c>
      <c r="L54" s="62"/>
      <c r="M54" s="3"/>
      <c r="Z54" s="29">
        <f t="shared" si="25"/>
        <v>0</v>
      </c>
      <c r="AB54" s="29">
        <f t="shared" si="26"/>
        <v>0</v>
      </c>
      <c r="AC54" s="29">
        <f t="shared" si="27"/>
        <v>0</v>
      </c>
      <c r="AD54" s="29">
        <f t="shared" si="28"/>
        <v>0</v>
      </c>
      <c r="AE54" s="29">
        <f t="shared" si="29"/>
        <v>0</v>
      </c>
      <c r="AF54" s="29">
        <f t="shared" si="30"/>
        <v>0</v>
      </c>
      <c r="AG54" s="29">
        <f t="shared" si="31"/>
        <v>0</v>
      </c>
      <c r="AH54" s="29">
        <f t="shared" si="32"/>
        <v>0</v>
      </c>
      <c r="AI54" s="47"/>
      <c r="AJ54" s="29">
        <f t="shared" si="33"/>
        <v>0</v>
      </c>
      <c r="AK54" s="29">
        <f t="shared" si="34"/>
        <v>0</v>
      </c>
      <c r="AL54" s="29">
        <f t="shared" si="35"/>
        <v>0</v>
      </c>
      <c r="AN54" s="29">
        <v>15</v>
      </c>
      <c r="AO54" s="29">
        <f>H54*0.0162443144899285</f>
        <v>0</v>
      </c>
      <c r="AP54" s="29">
        <f>H54*(1-0.0162443144899285)</f>
        <v>0</v>
      </c>
      <c r="AQ54" s="63" t="s">
        <v>132</v>
      </c>
      <c r="AV54" s="29">
        <f t="shared" si="36"/>
        <v>0</v>
      </c>
      <c r="AW54" s="29">
        <f t="shared" si="37"/>
        <v>0</v>
      </c>
      <c r="AX54" s="29">
        <f t="shared" si="38"/>
        <v>0</v>
      </c>
      <c r="AY54" s="63" t="s">
        <v>191</v>
      </c>
      <c r="AZ54" s="63" t="s">
        <v>134</v>
      </c>
      <c r="BA54" s="47" t="s">
        <v>135</v>
      </c>
      <c r="BC54" s="29">
        <f t="shared" si="39"/>
        <v>0</v>
      </c>
      <c r="BD54" s="29">
        <f t="shared" si="40"/>
        <v>0</v>
      </c>
      <c r="BE54" s="29">
        <v>0</v>
      </c>
      <c r="BF54" s="29">
        <f>54</f>
        <v>54</v>
      </c>
      <c r="BH54" s="29">
        <f t="shared" si="41"/>
        <v>0</v>
      </c>
      <c r="BI54" s="29">
        <f t="shared" si="42"/>
        <v>0</v>
      </c>
      <c r="BJ54" s="29">
        <f t="shared" si="43"/>
        <v>0</v>
      </c>
      <c r="BK54" s="29" t="s">
        <v>136</v>
      </c>
      <c r="BL54" s="29">
        <v>722</v>
      </c>
    </row>
    <row r="55" spans="1:64" ht="12.75">
      <c r="A55" s="30" t="s">
        <v>258</v>
      </c>
      <c r="B55" s="4" t="s">
        <v>259</v>
      </c>
      <c r="C55" s="87" t="s">
        <v>260</v>
      </c>
      <c r="D55" s="87"/>
      <c r="E55" s="87"/>
      <c r="F55" s="4" t="s">
        <v>131</v>
      </c>
      <c r="G55" s="29">
        <v>175</v>
      </c>
      <c r="H55" s="29">
        <v>0</v>
      </c>
      <c r="I55" s="29">
        <f t="shared" si="22"/>
        <v>0</v>
      </c>
      <c r="J55" s="29">
        <f t="shared" si="23"/>
        <v>0</v>
      </c>
      <c r="K55" s="29">
        <f t="shared" si="24"/>
        <v>0</v>
      </c>
      <c r="L55" s="62"/>
      <c r="M55" s="3"/>
      <c r="Z55" s="29">
        <f t="shared" si="25"/>
        <v>0</v>
      </c>
      <c r="AB55" s="29">
        <f t="shared" si="26"/>
        <v>0</v>
      </c>
      <c r="AC55" s="29">
        <f t="shared" si="27"/>
        <v>0</v>
      </c>
      <c r="AD55" s="29">
        <f t="shared" si="28"/>
        <v>0</v>
      </c>
      <c r="AE55" s="29">
        <f t="shared" si="29"/>
        <v>0</v>
      </c>
      <c r="AF55" s="29">
        <f t="shared" si="30"/>
        <v>0</v>
      </c>
      <c r="AG55" s="29">
        <f t="shared" si="31"/>
        <v>0</v>
      </c>
      <c r="AH55" s="29">
        <f t="shared" si="32"/>
        <v>0</v>
      </c>
      <c r="AI55" s="47"/>
      <c r="AJ55" s="29">
        <f t="shared" si="33"/>
        <v>0</v>
      </c>
      <c r="AK55" s="29">
        <f t="shared" si="34"/>
        <v>0</v>
      </c>
      <c r="AL55" s="29">
        <f t="shared" si="35"/>
        <v>0</v>
      </c>
      <c r="AN55" s="29">
        <v>15</v>
      </c>
      <c r="AO55" s="29">
        <f>H55*0.0512578616352201</f>
        <v>0</v>
      </c>
      <c r="AP55" s="29">
        <f>H55*(1-0.0512578616352201)</f>
        <v>0</v>
      </c>
      <c r="AQ55" s="63" t="s">
        <v>132</v>
      </c>
      <c r="AV55" s="29">
        <f t="shared" si="36"/>
        <v>0</v>
      </c>
      <c r="AW55" s="29">
        <f t="shared" si="37"/>
        <v>0</v>
      </c>
      <c r="AX55" s="29">
        <f t="shared" si="38"/>
        <v>0</v>
      </c>
      <c r="AY55" s="63" t="s">
        <v>191</v>
      </c>
      <c r="AZ55" s="63" t="s">
        <v>134</v>
      </c>
      <c r="BA55" s="47" t="s">
        <v>135</v>
      </c>
      <c r="BC55" s="29">
        <f t="shared" si="39"/>
        <v>0</v>
      </c>
      <c r="BD55" s="29">
        <f t="shared" si="40"/>
        <v>0</v>
      </c>
      <c r="BE55" s="29">
        <v>0</v>
      </c>
      <c r="BF55" s="29">
        <f>55</f>
        <v>55</v>
      </c>
      <c r="BH55" s="29">
        <f t="shared" si="41"/>
        <v>0</v>
      </c>
      <c r="BI55" s="29">
        <f t="shared" si="42"/>
        <v>0</v>
      </c>
      <c r="BJ55" s="29">
        <f t="shared" si="43"/>
        <v>0</v>
      </c>
      <c r="BK55" s="29" t="s">
        <v>136</v>
      </c>
      <c r="BL55" s="29">
        <v>722</v>
      </c>
    </row>
    <row r="56" spans="1:64" ht="12.75">
      <c r="A56" s="30" t="s">
        <v>261</v>
      </c>
      <c r="B56" s="4" t="s">
        <v>262</v>
      </c>
      <c r="C56" s="87" t="s">
        <v>263</v>
      </c>
      <c r="D56" s="87"/>
      <c r="E56" s="87"/>
      <c r="F56" s="4" t="s">
        <v>187</v>
      </c>
      <c r="G56" s="29">
        <v>0.626</v>
      </c>
      <c r="H56" s="29">
        <v>0</v>
      </c>
      <c r="I56" s="29">
        <f t="shared" si="22"/>
        <v>0</v>
      </c>
      <c r="J56" s="29">
        <f t="shared" si="23"/>
        <v>0</v>
      </c>
      <c r="K56" s="29">
        <f t="shared" si="24"/>
        <v>0</v>
      </c>
      <c r="L56" s="62"/>
      <c r="M56" s="3"/>
      <c r="Z56" s="29">
        <f t="shared" si="25"/>
        <v>0</v>
      </c>
      <c r="AB56" s="29">
        <f t="shared" si="26"/>
        <v>0</v>
      </c>
      <c r="AC56" s="29">
        <f t="shared" si="27"/>
        <v>0</v>
      </c>
      <c r="AD56" s="29">
        <f t="shared" si="28"/>
        <v>0</v>
      </c>
      <c r="AE56" s="29">
        <f t="shared" si="29"/>
        <v>0</v>
      </c>
      <c r="AF56" s="29">
        <f t="shared" si="30"/>
        <v>0</v>
      </c>
      <c r="AG56" s="29">
        <f t="shared" si="31"/>
        <v>0</v>
      </c>
      <c r="AH56" s="29">
        <f t="shared" si="32"/>
        <v>0</v>
      </c>
      <c r="AI56" s="47"/>
      <c r="AJ56" s="29">
        <f t="shared" si="33"/>
        <v>0</v>
      </c>
      <c r="AK56" s="29">
        <f t="shared" si="34"/>
        <v>0</v>
      </c>
      <c r="AL56" s="29">
        <f t="shared" si="35"/>
        <v>0</v>
      </c>
      <c r="AN56" s="29">
        <v>15</v>
      </c>
      <c r="AO56" s="29">
        <f>H56*0</f>
        <v>0</v>
      </c>
      <c r="AP56" s="29">
        <f>H56*(1-0)</f>
        <v>0</v>
      </c>
      <c r="AQ56" s="63" t="s">
        <v>132</v>
      </c>
      <c r="AV56" s="29">
        <f t="shared" si="36"/>
        <v>0</v>
      </c>
      <c r="AW56" s="29">
        <f t="shared" si="37"/>
        <v>0</v>
      </c>
      <c r="AX56" s="29">
        <f t="shared" si="38"/>
        <v>0</v>
      </c>
      <c r="AY56" s="63" t="s">
        <v>191</v>
      </c>
      <c r="AZ56" s="63" t="s">
        <v>134</v>
      </c>
      <c r="BA56" s="47" t="s">
        <v>135</v>
      </c>
      <c r="BC56" s="29">
        <f t="shared" si="39"/>
        <v>0</v>
      </c>
      <c r="BD56" s="29">
        <f t="shared" si="40"/>
        <v>0</v>
      </c>
      <c r="BE56" s="29">
        <v>0</v>
      </c>
      <c r="BF56" s="29">
        <f>56</f>
        <v>56</v>
      </c>
      <c r="BH56" s="29">
        <f t="shared" si="41"/>
        <v>0</v>
      </c>
      <c r="BI56" s="29">
        <f t="shared" si="42"/>
        <v>0</v>
      </c>
      <c r="BJ56" s="29">
        <f t="shared" si="43"/>
        <v>0</v>
      </c>
      <c r="BK56" s="29" t="s">
        <v>136</v>
      </c>
      <c r="BL56" s="29">
        <v>722</v>
      </c>
    </row>
    <row r="57" spans="1:47" ht="12.75">
      <c r="A57" s="64"/>
      <c r="B57" s="65" t="s">
        <v>71</v>
      </c>
      <c r="C57" s="111" t="s">
        <v>72</v>
      </c>
      <c r="D57" s="111"/>
      <c r="E57" s="111"/>
      <c r="F57" s="66" t="s">
        <v>99</v>
      </c>
      <c r="G57" s="66" t="s">
        <v>99</v>
      </c>
      <c r="H57" s="66" t="s">
        <v>99</v>
      </c>
      <c r="I57" s="61">
        <f>SUM(I58:I58)</f>
        <v>0</v>
      </c>
      <c r="J57" s="61">
        <f>SUM(J58:J58)</f>
        <v>0</v>
      </c>
      <c r="K57" s="61">
        <f>SUM(K58:K58)</f>
        <v>0</v>
      </c>
      <c r="L57" s="67"/>
      <c r="M57" s="3"/>
      <c r="AI57" s="47"/>
      <c r="AS57" s="61">
        <f>SUM(AJ58:AJ58)</f>
        <v>0</v>
      </c>
      <c r="AT57" s="61">
        <f>SUM(AK58:AK58)</f>
        <v>0</v>
      </c>
      <c r="AU57" s="61">
        <f>SUM(AL58:AL58)</f>
        <v>0</v>
      </c>
    </row>
    <row r="58" spans="1:64" ht="12.75">
      <c r="A58" s="30" t="s">
        <v>264</v>
      </c>
      <c r="B58" s="4" t="s">
        <v>265</v>
      </c>
      <c r="C58" s="87" t="s">
        <v>266</v>
      </c>
      <c r="D58" s="87"/>
      <c r="E58" s="87"/>
      <c r="F58" s="4" t="s">
        <v>131</v>
      </c>
      <c r="G58" s="29">
        <v>93</v>
      </c>
      <c r="H58" s="29">
        <v>0</v>
      </c>
      <c r="I58" s="29">
        <f>G58*AO58</f>
        <v>0</v>
      </c>
      <c r="J58" s="29">
        <f>G58*AP58</f>
        <v>0</v>
      </c>
      <c r="K58" s="29">
        <f>G58*H58</f>
        <v>0</v>
      </c>
      <c r="L58" s="62"/>
      <c r="M58" s="3"/>
      <c r="Z58" s="29">
        <f>IF(AQ58="5",BJ58,0)</f>
        <v>0</v>
      </c>
      <c r="AB58" s="29">
        <f>IF(AQ58="1",BH58,0)</f>
        <v>0</v>
      </c>
      <c r="AC58" s="29">
        <f>IF(AQ58="1",BI58,0)</f>
        <v>0</v>
      </c>
      <c r="AD58" s="29">
        <f>IF(AQ58="7",BH58,0)</f>
        <v>0</v>
      </c>
      <c r="AE58" s="29">
        <f>IF(AQ58="7",BI58,0)</f>
        <v>0</v>
      </c>
      <c r="AF58" s="29">
        <f>IF(AQ58="2",BH58,0)</f>
        <v>0</v>
      </c>
      <c r="AG58" s="29">
        <f>IF(AQ58="2",BI58,0)</f>
        <v>0</v>
      </c>
      <c r="AH58" s="29">
        <f>IF(AQ58="0",BJ58,0)</f>
        <v>0</v>
      </c>
      <c r="AI58" s="47"/>
      <c r="AJ58" s="29">
        <f>IF(AN58=0,K58,0)</f>
        <v>0</v>
      </c>
      <c r="AK58" s="29">
        <f>IF(AN58=15,K58,0)</f>
        <v>0</v>
      </c>
      <c r="AL58" s="29">
        <f>IF(AN58=21,K58,0)</f>
        <v>0</v>
      </c>
      <c r="AN58" s="29">
        <v>15</v>
      </c>
      <c r="AO58" s="29">
        <f>H58*0.863577235772358</f>
        <v>0</v>
      </c>
      <c r="AP58" s="29">
        <f>H58*(1-0.863577235772358)</f>
        <v>0</v>
      </c>
      <c r="AQ58" s="63" t="s">
        <v>132</v>
      </c>
      <c r="AV58" s="29">
        <f>AW58+AX58</f>
        <v>0</v>
      </c>
      <c r="AW58" s="29">
        <f>G58*AO58</f>
        <v>0</v>
      </c>
      <c r="AX58" s="29">
        <f>G58*AP58</f>
        <v>0</v>
      </c>
      <c r="AY58" s="63" t="s">
        <v>267</v>
      </c>
      <c r="AZ58" s="63" t="s">
        <v>134</v>
      </c>
      <c r="BA58" s="47" t="s">
        <v>135</v>
      </c>
      <c r="BC58" s="29">
        <f>AW58+AX58</f>
        <v>0</v>
      </c>
      <c r="BD58" s="29">
        <f>H58/(100-BE58)*100</f>
        <v>0</v>
      </c>
      <c r="BE58" s="29">
        <v>0</v>
      </c>
      <c r="BF58" s="29">
        <f>58</f>
        <v>58</v>
      </c>
      <c r="BH58" s="29">
        <f>G58*AO58</f>
        <v>0</v>
      </c>
      <c r="BI58" s="29">
        <f>G58*AP58</f>
        <v>0</v>
      </c>
      <c r="BJ58" s="29">
        <f>G58*H58</f>
        <v>0</v>
      </c>
      <c r="BK58" s="29" t="s">
        <v>136</v>
      </c>
      <c r="BL58" s="29">
        <v>723</v>
      </c>
    </row>
    <row r="59" spans="1:47" ht="12.75">
      <c r="A59" s="64"/>
      <c r="B59" s="65" t="s">
        <v>73</v>
      </c>
      <c r="C59" s="111" t="s">
        <v>74</v>
      </c>
      <c r="D59" s="111"/>
      <c r="E59" s="111"/>
      <c r="F59" s="66" t="s">
        <v>99</v>
      </c>
      <c r="G59" s="66" t="s">
        <v>99</v>
      </c>
      <c r="H59" s="66" t="s">
        <v>99</v>
      </c>
      <c r="I59" s="61">
        <f>SUM(I60:I77)</f>
        <v>0</v>
      </c>
      <c r="J59" s="61">
        <f>SUM(J60:J77)</f>
        <v>0</v>
      </c>
      <c r="K59" s="61">
        <f>SUM(K60:K77)</f>
        <v>0</v>
      </c>
      <c r="L59" s="67"/>
      <c r="M59" s="3"/>
      <c r="AI59" s="47"/>
      <c r="AS59" s="61">
        <f>SUM(AJ60:AJ77)</f>
        <v>0</v>
      </c>
      <c r="AT59" s="61">
        <f>SUM(AK60:AK77)</f>
        <v>0</v>
      </c>
      <c r="AU59" s="61">
        <f>SUM(AL60:AL77)</f>
        <v>0</v>
      </c>
    </row>
    <row r="60" spans="1:64" ht="12.75">
      <c r="A60" s="30" t="s">
        <v>268</v>
      </c>
      <c r="B60" s="4" t="s">
        <v>269</v>
      </c>
      <c r="C60" s="87" t="s">
        <v>270</v>
      </c>
      <c r="D60" s="87"/>
      <c r="E60" s="87"/>
      <c r="F60" s="4" t="s">
        <v>131</v>
      </c>
      <c r="G60" s="29">
        <v>380</v>
      </c>
      <c r="H60" s="29">
        <v>0</v>
      </c>
      <c r="I60" s="29">
        <f aca="true" t="shared" si="44" ref="I60:I77">G60*AO60</f>
        <v>0</v>
      </c>
      <c r="J60" s="29">
        <f aca="true" t="shared" si="45" ref="J60:J77">G60*AP60</f>
        <v>0</v>
      </c>
      <c r="K60" s="29">
        <f aca="true" t="shared" si="46" ref="K60:K77">G60*H60</f>
        <v>0</v>
      </c>
      <c r="L60" s="62"/>
      <c r="M60" s="3"/>
      <c r="Z60" s="29">
        <f aca="true" t="shared" si="47" ref="Z60:Z77">IF(AQ60="5",BJ60,0)</f>
        <v>0</v>
      </c>
      <c r="AB60" s="29">
        <f aca="true" t="shared" si="48" ref="AB60:AB77">IF(AQ60="1",BH60,0)</f>
        <v>0</v>
      </c>
      <c r="AC60" s="29">
        <f aca="true" t="shared" si="49" ref="AC60:AC77">IF(AQ60="1",BI60,0)</f>
        <v>0</v>
      </c>
      <c r="AD60" s="29">
        <f aca="true" t="shared" si="50" ref="AD60:AD77">IF(AQ60="7",BH60,0)</f>
        <v>0</v>
      </c>
      <c r="AE60" s="29">
        <f aca="true" t="shared" si="51" ref="AE60:AE77">IF(AQ60="7",BI60,0)</f>
        <v>0</v>
      </c>
      <c r="AF60" s="29">
        <f aca="true" t="shared" si="52" ref="AF60:AF77">IF(AQ60="2",BH60,0)</f>
        <v>0</v>
      </c>
      <c r="AG60" s="29">
        <f aca="true" t="shared" si="53" ref="AG60:AG77">IF(AQ60="2",BI60,0)</f>
        <v>0</v>
      </c>
      <c r="AH60" s="29">
        <f aca="true" t="shared" si="54" ref="AH60:AH77">IF(AQ60="0",BJ60,0)</f>
        <v>0</v>
      </c>
      <c r="AI60" s="47"/>
      <c r="AJ60" s="29">
        <f aca="true" t="shared" si="55" ref="AJ60:AJ77">IF(AN60=0,K60,0)</f>
        <v>0</v>
      </c>
      <c r="AK60" s="29">
        <f aca="true" t="shared" si="56" ref="AK60:AK77">IF(AN60=15,K60,0)</f>
        <v>0</v>
      </c>
      <c r="AL60" s="29">
        <f aca="true" t="shared" si="57" ref="AL60:AL77">IF(AN60=21,K60,0)</f>
        <v>0</v>
      </c>
      <c r="AN60" s="29">
        <v>15</v>
      </c>
      <c r="AO60" s="29">
        <f>H60*0</f>
        <v>0</v>
      </c>
      <c r="AP60" s="29">
        <f>H60*(1-0)</f>
        <v>0</v>
      </c>
      <c r="AQ60" s="63" t="s">
        <v>132</v>
      </c>
      <c r="AV60" s="29">
        <f aca="true" t="shared" si="58" ref="AV60:AV77">AW60+AX60</f>
        <v>0</v>
      </c>
      <c r="AW60" s="29">
        <f aca="true" t="shared" si="59" ref="AW60:AW77">G60*AO60</f>
        <v>0</v>
      </c>
      <c r="AX60" s="29">
        <f aca="true" t="shared" si="60" ref="AX60:AX77">G60*AP60</f>
        <v>0</v>
      </c>
      <c r="AY60" s="63" t="s">
        <v>271</v>
      </c>
      <c r="AZ60" s="63" t="s">
        <v>134</v>
      </c>
      <c r="BA60" s="47" t="s">
        <v>135</v>
      </c>
      <c r="BC60" s="29">
        <f aca="true" t="shared" si="61" ref="BC60:BC77">AW60+AX60</f>
        <v>0</v>
      </c>
      <c r="BD60" s="29">
        <f aca="true" t="shared" si="62" ref="BD60:BD77">H60/(100-BE60)*100</f>
        <v>0</v>
      </c>
      <c r="BE60" s="29">
        <v>0</v>
      </c>
      <c r="BF60" s="29">
        <f>60</f>
        <v>60</v>
      </c>
      <c r="BH60" s="29">
        <f aca="true" t="shared" si="63" ref="BH60:BH77">G60*AO60</f>
        <v>0</v>
      </c>
      <c r="BI60" s="29">
        <f aca="true" t="shared" si="64" ref="BI60:BI77">G60*AP60</f>
        <v>0</v>
      </c>
      <c r="BJ60" s="29">
        <f aca="true" t="shared" si="65" ref="BJ60:BJ77">G60*H60</f>
        <v>0</v>
      </c>
      <c r="BK60" s="29" t="s">
        <v>136</v>
      </c>
      <c r="BL60" s="29">
        <v>724</v>
      </c>
    </row>
    <row r="61" spans="1:64" ht="12.75">
      <c r="A61" s="30" t="s">
        <v>272</v>
      </c>
      <c r="B61" s="4" t="s">
        <v>273</v>
      </c>
      <c r="C61" s="87" t="s">
        <v>274</v>
      </c>
      <c r="D61" s="87"/>
      <c r="E61" s="87"/>
      <c r="F61" s="4" t="s">
        <v>131</v>
      </c>
      <c r="G61" s="29">
        <v>190</v>
      </c>
      <c r="H61" s="29">
        <v>0</v>
      </c>
      <c r="I61" s="29">
        <f t="shared" si="44"/>
        <v>0</v>
      </c>
      <c r="J61" s="29">
        <f t="shared" si="45"/>
        <v>0</v>
      </c>
      <c r="K61" s="29">
        <f t="shared" si="46"/>
        <v>0</v>
      </c>
      <c r="L61" s="62"/>
      <c r="M61" s="3"/>
      <c r="Z61" s="29">
        <f t="shared" si="47"/>
        <v>0</v>
      </c>
      <c r="AB61" s="29">
        <f t="shared" si="48"/>
        <v>0</v>
      </c>
      <c r="AC61" s="29">
        <f t="shared" si="49"/>
        <v>0</v>
      </c>
      <c r="AD61" s="29">
        <f t="shared" si="50"/>
        <v>0</v>
      </c>
      <c r="AE61" s="29">
        <f t="shared" si="51"/>
        <v>0</v>
      </c>
      <c r="AF61" s="29">
        <f t="shared" si="52"/>
        <v>0</v>
      </c>
      <c r="AG61" s="29">
        <f t="shared" si="53"/>
        <v>0</v>
      </c>
      <c r="AH61" s="29">
        <f t="shared" si="54"/>
        <v>0</v>
      </c>
      <c r="AI61" s="47"/>
      <c r="AJ61" s="29">
        <f t="shared" si="55"/>
        <v>0</v>
      </c>
      <c r="AK61" s="29">
        <f t="shared" si="56"/>
        <v>0</v>
      </c>
      <c r="AL61" s="29">
        <f t="shared" si="57"/>
        <v>0</v>
      </c>
      <c r="AN61" s="29">
        <v>15</v>
      </c>
      <c r="AO61" s="29">
        <f>H61*0.38939122463436</f>
        <v>0</v>
      </c>
      <c r="AP61" s="29">
        <f>H61*(1-0.38939122463436)</f>
        <v>0</v>
      </c>
      <c r="AQ61" s="63" t="s">
        <v>132</v>
      </c>
      <c r="AV61" s="29">
        <f t="shared" si="58"/>
        <v>0</v>
      </c>
      <c r="AW61" s="29">
        <f t="shared" si="59"/>
        <v>0</v>
      </c>
      <c r="AX61" s="29">
        <f t="shared" si="60"/>
        <v>0</v>
      </c>
      <c r="AY61" s="63" t="s">
        <v>271</v>
      </c>
      <c r="AZ61" s="63" t="s">
        <v>134</v>
      </c>
      <c r="BA61" s="47" t="s">
        <v>135</v>
      </c>
      <c r="BC61" s="29">
        <f t="shared" si="61"/>
        <v>0</v>
      </c>
      <c r="BD61" s="29">
        <f t="shared" si="62"/>
        <v>0</v>
      </c>
      <c r="BE61" s="29">
        <v>0</v>
      </c>
      <c r="BF61" s="29">
        <f>61</f>
        <v>61</v>
      </c>
      <c r="BH61" s="29">
        <f t="shared" si="63"/>
        <v>0</v>
      </c>
      <c r="BI61" s="29">
        <f t="shared" si="64"/>
        <v>0</v>
      </c>
      <c r="BJ61" s="29">
        <f t="shared" si="65"/>
        <v>0</v>
      </c>
      <c r="BK61" s="29" t="s">
        <v>136</v>
      </c>
      <c r="BL61" s="29">
        <v>724</v>
      </c>
    </row>
    <row r="62" spans="1:64" ht="12.75">
      <c r="A62" s="30" t="s">
        <v>275</v>
      </c>
      <c r="B62" s="4" t="s">
        <v>276</v>
      </c>
      <c r="C62" s="87" t="s">
        <v>277</v>
      </c>
      <c r="D62" s="87"/>
      <c r="E62" s="87"/>
      <c r="F62" s="4" t="s">
        <v>131</v>
      </c>
      <c r="G62" s="29">
        <v>30</v>
      </c>
      <c r="H62" s="29">
        <v>0</v>
      </c>
      <c r="I62" s="29">
        <f t="shared" si="44"/>
        <v>0</v>
      </c>
      <c r="J62" s="29">
        <f t="shared" si="45"/>
        <v>0</v>
      </c>
      <c r="K62" s="29">
        <f t="shared" si="46"/>
        <v>0</v>
      </c>
      <c r="L62" s="62"/>
      <c r="M62" s="3"/>
      <c r="Z62" s="29">
        <f t="shared" si="47"/>
        <v>0</v>
      </c>
      <c r="AB62" s="29">
        <f t="shared" si="48"/>
        <v>0</v>
      </c>
      <c r="AC62" s="29">
        <f t="shared" si="49"/>
        <v>0</v>
      </c>
      <c r="AD62" s="29">
        <f t="shared" si="50"/>
        <v>0</v>
      </c>
      <c r="AE62" s="29">
        <f t="shared" si="51"/>
        <v>0</v>
      </c>
      <c r="AF62" s="29">
        <f t="shared" si="52"/>
        <v>0</v>
      </c>
      <c r="AG62" s="29">
        <f t="shared" si="53"/>
        <v>0</v>
      </c>
      <c r="AH62" s="29">
        <f t="shared" si="54"/>
        <v>0</v>
      </c>
      <c r="AI62" s="47"/>
      <c r="AJ62" s="29">
        <f t="shared" si="55"/>
        <v>0</v>
      </c>
      <c r="AK62" s="29">
        <f t="shared" si="56"/>
        <v>0</v>
      </c>
      <c r="AL62" s="29">
        <f t="shared" si="57"/>
        <v>0</v>
      </c>
      <c r="AN62" s="29">
        <v>15</v>
      </c>
      <c r="AO62" s="29">
        <f>H62*0.451578947368421</f>
        <v>0</v>
      </c>
      <c r="AP62" s="29">
        <f>H62*(1-0.451578947368421)</f>
        <v>0</v>
      </c>
      <c r="AQ62" s="63" t="s">
        <v>132</v>
      </c>
      <c r="AV62" s="29">
        <f t="shared" si="58"/>
        <v>0</v>
      </c>
      <c r="AW62" s="29">
        <f t="shared" si="59"/>
        <v>0</v>
      </c>
      <c r="AX62" s="29">
        <f t="shared" si="60"/>
        <v>0</v>
      </c>
      <c r="AY62" s="63" t="s">
        <v>271</v>
      </c>
      <c r="AZ62" s="63" t="s">
        <v>134</v>
      </c>
      <c r="BA62" s="47" t="s">
        <v>135</v>
      </c>
      <c r="BC62" s="29">
        <f t="shared" si="61"/>
        <v>0</v>
      </c>
      <c r="BD62" s="29">
        <f t="shared" si="62"/>
        <v>0</v>
      </c>
      <c r="BE62" s="29">
        <v>0</v>
      </c>
      <c r="BF62" s="29">
        <f>62</f>
        <v>62</v>
      </c>
      <c r="BH62" s="29">
        <f t="shared" si="63"/>
        <v>0</v>
      </c>
      <c r="BI62" s="29">
        <f t="shared" si="64"/>
        <v>0</v>
      </c>
      <c r="BJ62" s="29">
        <f t="shared" si="65"/>
        <v>0</v>
      </c>
      <c r="BK62" s="29" t="s">
        <v>136</v>
      </c>
      <c r="BL62" s="29">
        <v>724</v>
      </c>
    </row>
    <row r="63" spans="1:64" ht="12.75">
      <c r="A63" s="30" t="s">
        <v>278</v>
      </c>
      <c r="B63" s="4" t="s">
        <v>217</v>
      </c>
      <c r="C63" s="87" t="s">
        <v>218</v>
      </c>
      <c r="D63" s="87"/>
      <c r="E63" s="87"/>
      <c r="F63" s="4" t="s">
        <v>131</v>
      </c>
      <c r="G63" s="29">
        <v>150</v>
      </c>
      <c r="H63" s="29">
        <v>0</v>
      </c>
      <c r="I63" s="29">
        <f t="shared" si="44"/>
        <v>0</v>
      </c>
      <c r="J63" s="29">
        <f t="shared" si="45"/>
        <v>0</v>
      </c>
      <c r="K63" s="29">
        <f t="shared" si="46"/>
        <v>0</v>
      </c>
      <c r="L63" s="62"/>
      <c r="M63" s="3"/>
      <c r="Z63" s="29">
        <f t="shared" si="47"/>
        <v>0</v>
      </c>
      <c r="AB63" s="29">
        <f t="shared" si="48"/>
        <v>0</v>
      </c>
      <c r="AC63" s="29">
        <f t="shared" si="49"/>
        <v>0</v>
      </c>
      <c r="AD63" s="29">
        <f t="shared" si="50"/>
        <v>0</v>
      </c>
      <c r="AE63" s="29">
        <f t="shared" si="51"/>
        <v>0</v>
      </c>
      <c r="AF63" s="29">
        <f t="shared" si="52"/>
        <v>0</v>
      </c>
      <c r="AG63" s="29">
        <f t="shared" si="53"/>
        <v>0</v>
      </c>
      <c r="AH63" s="29">
        <f t="shared" si="54"/>
        <v>0</v>
      </c>
      <c r="AI63" s="47"/>
      <c r="AJ63" s="29">
        <f t="shared" si="55"/>
        <v>0</v>
      </c>
      <c r="AK63" s="29">
        <f t="shared" si="56"/>
        <v>0</v>
      </c>
      <c r="AL63" s="29">
        <f t="shared" si="57"/>
        <v>0</v>
      </c>
      <c r="AN63" s="29">
        <v>15</v>
      </c>
      <c r="AO63" s="29">
        <f>H63*0.530740242261104</f>
        <v>0</v>
      </c>
      <c r="AP63" s="29">
        <f>H63*(1-0.530740242261104)</f>
        <v>0</v>
      </c>
      <c r="AQ63" s="63" t="s">
        <v>132</v>
      </c>
      <c r="AV63" s="29">
        <f t="shared" si="58"/>
        <v>0</v>
      </c>
      <c r="AW63" s="29">
        <f t="shared" si="59"/>
        <v>0</v>
      </c>
      <c r="AX63" s="29">
        <f t="shared" si="60"/>
        <v>0</v>
      </c>
      <c r="AY63" s="63" t="s">
        <v>271</v>
      </c>
      <c r="AZ63" s="63" t="s">
        <v>134</v>
      </c>
      <c r="BA63" s="47" t="s">
        <v>135</v>
      </c>
      <c r="BC63" s="29">
        <f t="shared" si="61"/>
        <v>0</v>
      </c>
      <c r="BD63" s="29">
        <f t="shared" si="62"/>
        <v>0</v>
      </c>
      <c r="BE63" s="29">
        <v>0</v>
      </c>
      <c r="BF63" s="29">
        <f>63</f>
        <v>63</v>
      </c>
      <c r="BH63" s="29">
        <f t="shared" si="63"/>
        <v>0</v>
      </c>
      <c r="BI63" s="29">
        <f t="shared" si="64"/>
        <v>0</v>
      </c>
      <c r="BJ63" s="29">
        <f t="shared" si="65"/>
        <v>0</v>
      </c>
      <c r="BK63" s="29" t="s">
        <v>136</v>
      </c>
      <c r="BL63" s="29">
        <v>724</v>
      </c>
    </row>
    <row r="64" spans="1:64" ht="12.75">
      <c r="A64" s="30" t="s">
        <v>279</v>
      </c>
      <c r="B64" s="4" t="s">
        <v>280</v>
      </c>
      <c r="C64" s="87" t="s">
        <v>281</v>
      </c>
      <c r="D64" s="87"/>
      <c r="E64" s="87"/>
      <c r="F64" s="4" t="s">
        <v>131</v>
      </c>
      <c r="G64" s="29">
        <v>30</v>
      </c>
      <c r="H64" s="29">
        <v>0</v>
      </c>
      <c r="I64" s="29">
        <f t="shared" si="44"/>
        <v>0</v>
      </c>
      <c r="J64" s="29">
        <f t="shared" si="45"/>
        <v>0</v>
      </c>
      <c r="K64" s="29">
        <f t="shared" si="46"/>
        <v>0</v>
      </c>
      <c r="L64" s="62"/>
      <c r="M64" s="3"/>
      <c r="Z64" s="29">
        <f t="shared" si="47"/>
        <v>0</v>
      </c>
      <c r="AB64" s="29">
        <f t="shared" si="48"/>
        <v>0</v>
      </c>
      <c r="AC64" s="29">
        <f t="shared" si="49"/>
        <v>0</v>
      </c>
      <c r="AD64" s="29">
        <f t="shared" si="50"/>
        <v>0</v>
      </c>
      <c r="AE64" s="29">
        <f t="shared" si="51"/>
        <v>0</v>
      </c>
      <c r="AF64" s="29">
        <f t="shared" si="52"/>
        <v>0</v>
      </c>
      <c r="AG64" s="29">
        <f t="shared" si="53"/>
        <v>0</v>
      </c>
      <c r="AH64" s="29">
        <f t="shared" si="54"/>
        <v>0</v>
      </c>
      <c r="AI64" s="47"/>
      <c r="AJ64" s="29">
        <f t="shared" si="55"/>
        <v>0</v>
      </c>
      <c r="AK64" s="29">
        <f t="shared" si="56"/>
        <v>0</v>
      </c>
      <c r="AL64" s="29">
        <f t="shared" si="57"/>
        <v>0</v>
      </c>
      <c r="AN64" s="29">
        <v>15</v>
      </c>
      <c r="AO64" s="29">
        <f>H64*0.207756232686981</f>
        <v>0</v>
      </c>
      <c r="AP64" s="29">
        <f>H64*(1-0.207756232686981)</f>
        <v>0</v>
      </c>
      <c r="AQ64" s="63" t="s">
        <v>132</v>
      </c>
      <c r="AV64" s="29">
        <f t="shared" si="58"/>
        <v>0</v>
      </c>
      <c r="AW64" s="29">
        <f t="shared" si="59"/>
        <v>0</v>
      </c>
      <c r="AX64" s="29">
        <f t="shared" si="60"/>
        <v>0</v>
      </c>
      <c r="AY64" s="63" t="s">
        <v>271</v>
      </c>
      <c r="AZ64" s="63" t="s">
        <v>134</v>
      </c>
      <c r="BA64" s="47" t="s">
        <v>135</v>
      </c>
      <c r="BC64" s="29">
        <f t="shared" si="61"/>
        <v>0</v>
      </c>
      <c r="BD64" s="29">
        <f t="shared" si="62"/>
        <v>0</v>
      </c>
      <c r="BE64" s="29">
        <v>0</v>
      </c>
      <c r="BF64" s="29">
        <f>64</f>
        <v>64</v>
      </c>
      <c r="BH64" s="29">
        <f t="shared" si="63"/>
        <v>0</v>
      </c>
      <c r="BI64" s="29">
        <f t="shared" si="64"/>
        <v>0</v>
      </c>
      <c r="BJ64" s="29">
        <f t="shared" si="65"/>
        <v>0</v>
      </c>
      <c r="BK64" s="29" t="s">
        <v>136</v>
      </c>
      <c r="BL64" s="29">
        <v>724</v>
      </c>
    </row>
    <row r="65" spans="1:64" ht="12.75">
      <c r="A65" s="30" t="s">
        <v>282</v>
      </c>
      <c r="B65" s="4" t="s">
        <v>283</v>
      </c>
      <c r="C65" s="87" t="s">
        <v>284</v>
      </c>
      <c r="D65" s="87"/>
      <c r="E65" s="87"/>
      <c r="F65" s="4" t="s">
        <v>131</v>
      </c>
      <c r="G65" s="29">
        <v>30</v>
      </c>
      <c r="H65" s="29">
        <v>0</v>
      </c>
      <c r="I65" s="29">
        <f t="shared" si="44"/>
        <v>0</v>
      </c>
      <c r="J65" s="29">
        <f t="shared" si="45"/>
        <v>0</v>
      </c>
      <c r="K65" s="29">
        <f t="shared" si="46"/>
        <v>0</v>
      </c>
      <c r="L65" s="62"/>
      <c r="M65" s="3"/>
      <c r="Z65" s="29">
        <f t="shared" si="47"/>
        <v>0</v>
      </c>
      <c r="AB65" s="29">
        <f t="shared" si="48"/>
        <v>0</v>
      </c>
      <c r="AC65" s="29">
        <f t="shared" si="49"/>
        <v>0</v>
      </c>
      <c r="AD65" s="29">
        <f t="shared" si="50"/>
        <v>0</v>
      </c>
      <c r="AE65" s="29">
        <f t="shared" si="51"/>
        <v>0</v>
      </c>
      <c r="AF65" s="29">
        <f t="shared" si="52"/>
        <v>0</v>
      </c>
      <c r="AG65" s="29">
        <f t="shared" si="53"/>
        <v>0</v>
      </c>
      <c r="AH65" s="29">
        <f t="shared" si="54"/>
        <v>0</v>
      </c>
      <c r="AI65" s="47"/>
      <c r="AJ65" s="29">
        <f t="shared" si="55"/>
        <v>0</v>
      </c>
      <c r="AK65" s="29">
        <f t="shared" si="56"/>
        <v>0</v>
      </c>
      <c r="AL65" s="29">
        <f t="shared" si="57"/>
        <v>0</v>
      </c>
      <c r="AN65" s="29">
        <v>15</v>
      </c>
      <c r="AO65" s="29">
        <f>H65*0.2328418230563</f>
        <v>0</v>
      </c>
      <c r="AP65" s="29">
        <f>H65*(1-0.2328418230563)</f>
        <v>0</v>
      </c>
      <c r="AQ65" s="63" t="s">
        <v>132</v>
      </c>
      <c r="AV65" s="29">
        <f t="shared" si="58"/>
        <v>0</v>
      </c>
      <c r="AW65" s="29">
        <f t="shared" si="59"/>
        <v>0</v>
      </c>
      <c r="AX65" s="29">
        <f t="shared" si="60"/>
        <v>0</v>
      </c>
      <c r="AY65" s="63" t="s">
        <v>271</v>
      </c>
      <c r="AZ65" s="63" t="s">
        <v>134</v>
      </c>
      <c r="BA65" s="47" t="s">
        <v>135</v>
      </c>
      <c r="BC65" s="29">
        <f t="shared" si="61"/>
        <v>0</v>
      </c>
      <c r="BD65" s="29">
        <f t="shared" si="62"/>
        <v>0</v>
      </c>
      <c r="BE65" s="29">
        <v>0</v>
      </c>
      <c r="BF65" s="29">
        <f>65</f>
        <v>65</v>
      </c>
      <c r="BH65" s="29">
        <f t="shared" si="63"/>
        <v>0</v>
      </c>
      <c r="BI65" s="29">
        <f t="shared" si="64"/>
        <v>0</v>
      </c>
      <c r="BJ65" s="29">
        <f t="shared" si="65"/>
        <v>0</v>
      </c>
      <c r="BK65" s="29" t="s">
        <v>136</v>
      </c>
      <c r="BL65" s="29">
        <v>724</v>
      </c>
    </row>
    <row r="66" spans="1:64" ht="12.75">
      <c r="A66" s="30" t="s">
        <v>285</v>
      </c>
      <c r="B66" s="4" t="s">
        <v>286</v>
      </c>
      <c r="C66" s="87" t="s">
        <v>287</v>
      </c>
      <c r="D66" s="87"/>
      <c r="E66" s="87"/>
      <c r="F66" s="4" t="s">
        <v>131</v>
      </c>
      <c r="G66" s="29">
        <v>73</v>
      </c>
      <c r="H66" s="29">
        <v>0</v>
      </c>
      <c r="I66" s="29">
        <f t="shared" si="44"/>
        <v>0</v>
      </c>
      <c r="J66" s="29">
        <f t="shared" si="45"/>
        <v>0</v>
      </c>
      <c r="K66" s="29">
        <f t="shared" si="46"/>
        <v>0</v>
      </c>
      <c r="L66" s="62"/>
      <c r="M66" s="3"/>
      <c r="Z66" s="29">
        <f t="shared" si="47"/>
        <v>0</v>
      </c>
      <c r="AB66" s="29">
        <f t="shared" si="48"/>
        <v>0</v>
      </c>
      <c r="AC66" s="29">
        <f t="shared" si="49"/>
        <v>0</v>
      </c>
      <c r="AD66" s="29">
        <f t="shared" si="50"/>
        <v>0</v>
      </c>
      <c r="AE66" s="29">
        <f t="shared" si="51"/>
        <v>0</v>
      </c>
      <c r="AF66" s="29">
        <f t="shared" si="52"/>
        <v>0</v>
      </c>
      <c r="AG66" s="29">
        <f t="shared" si="53"/>
        <v>0</v>
      </c>
      <c r="AH66" s="29">
        <f t="shared" si="54"/>
        <v>0</v>
      </c>
      <c r="AI66" s="47"/>
      <c r="AJ66" s="29">
        <f t="shared" si="55"/>
        <v>0</v>
      </c>
      <c r="AK66" s="29">
        <f t="shared" si="56"/>
        <v>0</v>
      </c>
      <c r="AL66" s="29">
        <f t="shared" si="57"/>
        <v>0</v>
      </c>
      <c r="AN66" s="29">
        <v>15</v>
      </c>
      <c r="AO66" s="29">
        <f>H66*0.238666401669482</f>
        <v>0</v>
      </c>
      <c r="AP66" s="29">
        <f>H66*(1-0.238666401669482)</f>
        <v>0</v>
      </c>
      <c r="AQ66" s="63" t="s">
        <v>132</v>
      </c>
      <c r="AV66" s="29">
        <f t="shared" si="58"/>
        <v>0</v>
      </c>
      <c r="AW66" s="29">
        <f t="shared" si="59"/>
        <v>0</v>
      </c>
      <c r="AX66" s="29">
        <f t="shared" si="60"/>
        <v>0</v>
      </c>
      <c r="AY66" s="63" t="s">
        <v>271</v>
      </c>
      <c r="AZ66" s="63" t="s">
        <v>134</v>
      </c>
      <c r="BA66" s="47" t="s">
        <v>135</v>
      </c>
      <c r="BC66" s="29">
        <f t="shared" si="61"/>
        <v>0</v>
      </c>
      <c r="BD66" s="29">
        <f t="shared" si="62"/>
        <v>0</v>
      </c>
      <c r="BE66" s="29">
        <v>0</v>
      </c>
      <c r="BF66" s="29">
        <f>66</f>
        <v>66</v>
      </c>
      <c r="BH66" s="29">
        <f t="shared" si="63"/>
        <v>0</v>
      </c>
      <c r="BI66" s="29">
        <f t="shared" si="64"/>
        <v>0</v>
      </c>
      <c r="BJ66" s="29">
        <f t="shared" si="65"/>
        <v>0</v>
      </c>
      <c r="BK66" s="29" t="s">
        <v>136</v>
      </c>
      <c r="BL66" s="29">
        <v>724</v>
      </c>
    </row>
    <row r="67" spans="1:64" ht="12.75">
      <c r="A67" s="30" t="s">
        <v>288</v>
      </c>
      <c r="B67" s="4" t="s">
        <v>289</v>
      </c>
      <c r="C67" s="87" t="s">
        <v>290</v>
      </c>
      <c r="D67" s="87"/>
      <c r="E67" s="87"/>
      <c r="F67" s="4" t="s">
        <v>131</v>
      </c>
      <c r="G67" s="29">
        <v>160</v>
      </c>
      <c r="H67" s="29">
        <v>0</v>
      </c>
      <c r="I67" s="29">
        <f t="shared" si="44"/>
        <v>0</v>
      </c>
      <c r="J67" s="29">
        <f t="shared" si="45"/>
        <v>0</v>
      </c>
      <c r="K67" s="29">
        <f t="shared" si="46"/>
        <v>0</v>
      </c>
      <c r="L67" s="62"/>
      <c r="M67" s="3"/>
      <c r="Z67" s="29">
        <f t="shared" si="47"/>
        <v>0</v>
      </c>
      <c r="AB67" s="29">
        <f t="shared" si="48"/>
        <v>0</v>
      </c>
      <c r="AC67" s="29">
        <f t="shared" si="49"/>
        <v>0</v>
      </c>
      <c r="AD67" s="29">
        <f t="shared" si="50"/>
        <v>0</v>
      </c>
      <c r="AE67" s="29">
        <f t="shared" si="51"/>
        <v>0</v>
      </c>
      <c r="AF67" s="29">
        <f t="shared" si="52"/>
        <v>0</v>
      </c>
      <c r="AG67" s="29">
        <f t="shared" si="53"/>
        <v>0</v>
      </c>
      <c r="AH67" s="29">
        <f t="shared" si="54"/>
        <v>0</v>
      </c>
      <c r="AI67" s="47"/>
      <c r="AJ67" s="29">
        <f t="shared" si="55"/>
        <v>0</v>
      </c>
      <c r="AK67" s="29">
        <f t="shared" si="56"/>
        <v>0</v>
      </c>
      <c r="AL67" s="29">
        <f t="shared" si="57"/>
        <v>0</v>
      </c>
      <c r="AN67" s="29">
        <v>15</v>
      </c>
      <c r="AO67" s="29">
        <f>H67*0.433465346534653</f>
        <v>0</v>
      </c>
      <c r="AP67" s="29">
        <f>H67*(1-0.433465346534653)</f>
        <v>0</v>
      </c>
      <c r="AQ67" s="63" t="s">
        <v>132</v>
      </c>
      <c r="AV67" s="29">
        <f t="shared" si="58"/>
        <v>0</v>
      </c>
      <c r="AW67" s="29">
        <f t="shared" si="59"/>
        <v>0</v>
      </c>
      <c r="AX67" s="29">
        <f t="shared" si="60"/>
        <v>0</v>
      </c>
      <c r="AY67" s="63" t="s">
        <v>271</v>
      </c>
      <c r="AZ67" s="63" t="s">
        <v>134</v>
      </c>
      <c r="BA67" s="47" t="s">
        <v>135</v>
      </c>
      <c r="BC67" s="29">
        <f t="shared" si="61"/>
        <v>0</v>
      </c>
      <c r="BD67" s="29">
        <f t="shared" si="62"/>
        <v>0</v>
      </c>
      <c r="BE67" s="29">
        <v>0</v>
      </c>
      <c r="BF67" s="29">
        <f>67</f>
        <v>67</v>
      </c>
      <c r="BH67" s="29">
        <f t="shared" si="63"/>
        <v>0</v>
      </c>
      <c r="BI67" s="29">
        <f t="shared" si="64"/>
        <v>0</v>
      </c>
      <c r="BJ67" s="29">
        <f t="shared" si="65"/>
        <v>0</v>
      </c>
      <c r="BK67" s="29" t="s">
        <v>136</v>
      </c>
      <c r="BL67" s="29">
        <v>724</v>
      </c>
    </row>
    <row r="68" spans="1:64" ht="12.75">
      <c r="A68" s="30" t="s">
        <v>291</v>
      </c>
      <c r="B68" s="4" t="s">
        <v>292</v>
      </c>
      <c r="C68" s="87" t="s">
        <v>293</v>
      </c>
      <c r="D68" s="87"/>
      <c r="E68" s="87"/>
      <c r="F68" s="4" t="s">
        <v>131</v>
      </c>
      <c r="G68" s="29">
        <v>30</v>
      </c>
      <c r="H68" s="29">
        <v>0</v>
      </c>
      <c r="I68" s="29">
        <f t="shared" si="44"/>
        <v>0</v>
      </c>
      <c r="J68" s="29">
        <f t="shared" si="45"/>
        <v>0</v>
      </c>
      <c r="K68" s="29">
        <f t="shared" si="46"/>
        <v>0</v>
      </c>
      <c r="L68" s="62"/>
      <c r="M68" s="3"/>
      <c r="Z68" s="29">
        <f t="shared" si="47"/>
        <v>0</v>
      </c>
      <c r="AB68" s="29">
        <f t="shared" si="48"/>
        <v>0</v>
      </c>
      <c r="AC68" s="29">
        <f t="shared" si="49"/>
        <v>0</v>
      </c>
      <c r="AD68" s="29">
        <f t="shared" si="50"/>
        <v>0</v>
      </c>
      <c r="AE68" s="29">
        <f t="shared" si="51"/>
        <v>0</v>
      </c>
      <c r="AF68" s="29">
        <f t="shared" si="52"/>
        <v>0</v>
      </c>
      <c r="AG68" s="29">
        <f t="shared" si="53"/>
        <v>0</v>
      </c>
      <c r="AH68" s="29">
        <f t="shared" si="54"/>
        <v>0</v>
      </c>
      <c r="AI68" s="47"/>
      <c r="AJ68" s="29">
        <f t="shared" si="55"/>
        <v>0</v>
      </c>
      <c r="AK68" s="29">
        <f t="shared" si="56"/>
        <v>0</v>
      </c>
      <c r="AL68" s="29">
        <f t="shared" si="57"/>
        <v>0</v>
      </c>
      <c r="AN68" s="29">
        <v>15</v>
      </c>
      <c r="AO68" s="29">
        <f>H68*0.465233644859813</f>
        <v>0</v>
      </c>
      <c r="AP68" s="29">
        <f>H68*(1-0.465233644859813)</f>
        <v>0</v>
      </c>
      <c r="AQ68" s="63" t="s">
        <v>132</v>
      </c>
      <c r="AV68" s="29">
        <f t="shared" si="58"/>
        <v>0</v>
      </c>
      <c r="AW68" s="29">
        <f t="shared" si="59"/>
        <v>0</v>
      </c>
      <c r="AX68" s="29">
        <f t="shared" si="60"/>
        <v>0</v>
      </c>
      <c r="AY68" s="63" t="s">
        <v>271</v>
      </c>
      <c r="AZ68" s="63" t="s">
        <v>134</v>
      </c>
      <c r="BA68" s="47" t="s">
        <v>135</v>
      </c>
      <c r="BC68" s="29">
        <f t="shared" si="61"/>
        <v>0</v>
      </c>
      <c r="BD68" s="29">
        <f t="shared" si="62"/>
        <v>0</v>
      </c>
      <c r="BE68" s="29">
        <v>0</v>
      </c>
      <c r="BF68" s="29">
        <f>68</f>
        <v>68</v>
      </c>
      <c r="BH68" s="29">
        <f t="shared" si="63"/>
        <v>0</v>
      </c>
      <c r="BI68" s="29">
        <f t="shared" si="64"/>
        <v>0</v>
      </c>
      <c r="BJ68" s="29">
        <f t="shared" si="65"/>
        <v>0</v>
      </c>
      <c r="BK68" s="29" t="s">
        <v>136</v>
      </c>
      <c r="BL68" s="29">
        <v>724</v>
      </c>
    </row>
    <row r="69" spans="1:64" ht="12.75">
      <c r="A69" s="30" t="s">
        <v>294</v>
      </c>
      <c r="B69" s="4" t="s">
        <v>295</v>
      </c>
      <c r="C69" s="87" t="s">
        <v>296</v>
      </c>
      <c r="D69" s="87"/>
      <c r="E69" s="87"/>
      <c r="F69" s="4" t="s">
        <v>131</v>
      </c>
      <c r="G69" s="29">
        <v>73</v>
      </c>
      <c r="H69" s="29">
        <v>0</v>
      </c>
      <c r="I69" s="29">
        <f t="shared" si="44"/>
        <v>0</v>
      </c>
      <c r="J69" s="29">
        <f t="shared" si="45"/>
        <v>0</v>
      </c>
      <c r="K69" s="29">
        <f t="shared" si="46"/>
        <v>0</v>
      </c>
      <c r="L69" s="62"/>
      <c r="M69" s="3"/>
      <c r="Z69" s="29">
        <f t="shared" si="47"/>
        <v>0</v>
      </c>
      <c r="AB69" s="29">
        <f t="shared" si="48"/>
        <v>0</v>
      </c>
      <c r="AC69" s="29">
        <f t="shared" si="49"/>
        <v>0</v>
      </c>
      <c r="AD69" s="29">
        <f t="shared" si="50"/>
        <v>0</v>
      </c>
      <c r="AE69" s="29">
        <f t="shared" si="51"/>
        <v>0</v>
      </c>
      <c r="AF69" s="29">
        <f t="shared" si="52"/>
        <v>0</v>
      </c>
      <c r="AG69" s="29">
        <f t="shared" si="53"/>
        <v>0</v>
      </c>
      <c r="AH69" s="29">
        <f t="shared" si="54"/>
        <v>0</v>
      </c>
      <c r="AI69" s="47"/>
      <c r="AJ69" s="29">
        <f t="shared" si="55"/>
        <v>0</v>
      </c>
      <c r="AK69" s="29">
        <f t="shared" si="56"/>
        <v>0</v>
      </c>
      <c r="AL69" s="29">
        <f t="shared" si="57"/>
        <v>0</v>
      </c>
      <c r="AN69" s="29">
        <v>15</v>
      </c>
      <c r="AO69" s="29">
        <f>H69*0.562531985122756</f>
        <v>0</v>
      </c>
      <c r="AP69" s="29">
        <f>H69*(1-0.562531985122756)</f>
        <v>0</v>
      </c>
      <c r="AQ69" s="63" t="s">
        <v>132</v>
      </c>
      <c r="AV69" s="29">
        <f t="shared" si="58"/>
        <v>0</v>
      </c>
      <c r="AW69" s="29">
        <f t="shared" si="59"/>
        <v>0</v>
      </c>
      <c r="AX69" s="29">
        <f t="shared" si="60"/>
        <v>0</v>
      </c>
      <c r="AY69" s="63" t="s">
        <v>271</v>
      </c>
      <c r="AZ69" s="63" t="s">
        <v>134</v>
      </c>
      <c r="BA69" s="47" t="s">
        <v>135</v>
      </c>
      <c r="BC69" s="29">
        <f t="shared" si="61"/>
        <v>0</v>
      </c>
      <c r="BD69" s="29">
        <f t="shared" si="62"/>
        <v>0</v>
      </c>
      <c r="BE69" s="29">
        <v>0</v>
      </c>
      <c r="BF69" s="29">
        <f>69</f>
        <v>69</v>
      </c>
      <c r="BH69" s="29">
        <f t="shared" si="63"/>
        <v>0</v>
      </c>
      <c r="BI69" s="29">
        <f t="shared" si="64"/>
        <v>0</v>
      </c>
      <c r="BJ69" s="29">
        <f t="shared" si="65"/>
        <v>0</v>
      </c>
      <c r="BK69" s="29" t="s">
        <v>136</v>
      </c>
      <c r="BL69" s="29">
        <v>724</v>
      </c>
    </row>
    <row r="70" spans="1:64" ht="12.75">
      <c r="A70" s="30" t="s">
        <v>297</v>
      </c>
      <c r="B70" s="4" t="s">
        <v>298</v>
      </c>
      <c r="C70" s="87" t="s">
        <v>299</v>
      </c>
      <c r="D70" s="87"/>
      <c r="E70" s="87"/>
      <c r="F70" s="4" t="s">
        <v>140</v>
      </c>
      <c r="G70" s="29">
        <v>62</v>
      </c>
      <c r="H70" s="29">
        <v>0</v>
      </c>
      <c r="I70" s="29">
        <f t="shared" si="44"/>
        <v>0</v>
      </c>
      <c r="J70" s="29">
        <f t="shared" si="45"/>
        <v>0</v>
      </c>
      <c r="K70" s="29">
        <f t="shared" si="46"/>
        <v>0</v>
      </c>
      <c r="L70" s="62"/>
      <c r="M70" s="3"/>
      <c r="Z70" s="29">
        <f t="shared" si="47"/>
        <v>0</v>
      </c>
      <c r="AB70" s="29">
        <f t="shared" si="48"/>
        <v>0</v>
      </c>
      <c r="AC70" s="29">
        <f t="shared" si="49"/>
        <v>0</v>
      </c>
      <c r="AD70" s="29">
        <f t="shared" si="50"/>
        <v>0</v>
      </c>
      <c r="AE70" s="29">
        <f t="shared" si="51"/>
        <v>0</v>
      </c>
      <c r="AF70" s="29">
        <f t="shared" si="52"/>
        <v>0</v>
      </c>
      <c r="AG70" s="29">
        <f t="shared" si="53"/>
        <v>0</v>
      </c>
      <c r="AH70" s="29">
        <f t="shared" si="54"/>
        <v>0</v>
      </c>
      <c r="AI70" s="47"/>
      <c r="AJ70" s="29">
        <f t="shared" si="55"/>
        <v>0</v>
      </c>
      <c r="AK70" s="29">
        <f t="shared" si="56"/>
        <v>0</v>
      </c>
      <c r="AL70" s="29">
        <f t="shared" si="57"/>
        <v>0</v>
      </c>
      <c r="AN70" s="29">
        <v>15</v>
      </c>
      <c r="AO70" s="29">
        <f>H70*0.677672131147541</f>
        <v>0</v>
      </c>
      <c r="AP70" s="29">
        <f>H70*(1-0.677672131147541)</f>
        <v>0</v>
      </c>
      <c r="AQ70" s="63" t="s">
        <v>132</v>
      </c>
      <c r="AV70" s="29">
        <f t="shared" si="58"/>
        <v>0</v>
      </c>
      <c r="AW70" s="29">
        <f t="shared" si="59"/>
        <v>0</v>
      </c>
      <c r="AX70" s="29">
        <f t="shared" si="60"/>
        <v>0</v>
      </c>
      <c r="AY70" s="63" t="s">
        <v>271</v>
      </c>
      <c r="AZ70" s="63" t="s">
        <v>134</v>
      </c>
      <c r="BA70" s="47" t="s">
        <v>135</v>
      </c>
      <c r="BC70" s="29">
        <f t="shared" si="61"/>
        <v>0</v>
      </c>
      <c r="BD70" s="29">
        <f t="shared" si="62"/>
        <v>0</v>
      </c>
      <c r="BE70" s="29">
        <v>0</v>
      </c>
      <c r="BF70" s="29">
        <f>70</f>
        <v>70</v>
      </c>
      <c r="BH70" s="29">
        <f t="shared" si="63"/>
        <v>0</v>
      </c>
      <c r="BI70" s="29">
        <f t="shared" si="64"/>
        <v>0</v>
      </c>
      <c r="BJ70" s="29">
        <f t="shared" si="65"/>
        <v>0</v>
      </c>
      <c r="BK70" s="29" t="s">
        <v>136</v>
      </c>
      <c r="BL70" s="29">
        <v>724</v>
      </c>
    </row>
    <row r="71" spans="1:64" ht="12.75">
      <c r="A71" s="30" t="s">
        <v>300</v>
      </c>
      <c r="B71" s="4" t="s">
        <v>301</v>
      </c>
      <c r="C71" s="87" t="s">
        <v>302</v>
      </c>
      <c r="D71" s="87"/>
      <c r="E71" s="87"/>
      <c r="F71" s="4" t="s">
        <v>140</v>
      </c>
      <c r="G71" s="29">
        <v>10</v>
      </c>
      <c r="H71" s="29">
        <v>0</v>
      </c>
      <c r="I71" s="29">
        <f t="shared" si="44"/>
        <v>0</v>
      </c>
      <c r="J71" s="29">
        <f t="shared" si="45"/>
        <v>0</v>
      </c>
      <c r="K71" s="29">
        <f t="shared" si="46"/>
        <v>0</v>
      </c>
      <c r="L71" s="62"/>
      <c r="M71" s="3"/>
      <c r="Z71" s="29">
        <f t="shared" si="47"/>
        <v>0</v>
      </c>
      <c r="AB71" s="29">
        <f t="shared" si="48"/>
        <v>0</v>
      </c>
      <c r="AC71" s="29">
        <f t="shared" si="49"/>
        <v>0</v>
      </c>
      <c r="AD71" s="29">
        <f t="shared" si="50"/>
        <v>0</v>
      </c>
      <c r="AE71" s="29">
        <f t="shared" si="51"/>
        <v>0</v>
      </c>
      <c r="AF71" s="29">
        <f t="shared" si="52"/>
        <v>0</v>
      </c>
      <c r="AG71" s="29">
        <f t="shared" si="53"/>
        <v>0</v>
      </c>
      <c r="AH71" s="29">
        <f t="shared" si="54"/>
        <v>0</v>
      </c>
      <c r="AI71" s="47"/>
      <c r="AJ71" s="29">
        <f t="shared" si="55"/>
        <v>0</v>
      </c>
      <c r="AK71" s="29">
        <f t="shared" si="56"/>
        <v>0</v>
      </c>
      <c r="AL71" s="29">
        <f t="shared" si="57"/>
        <v>0</v>
      </c>
      <c r="AN71" s="29">
        <v>15</v>
      </c>
      <c r="AO71" s="29">
        <f>H71*0.27713056912606</f>
        <v>0</v>
      </c>
      <c r="AP71" s="29">
        <f>H71*(1-0.27713056912606)</f>
        <v>0</v>
      </c>
      <c r="AQ71" s="63" t="s">
        <v>132</v>
      </c>
      <c r="AV71" s="29">
        <f t="shared" si="58"/>
        <v>0</v>
      </c>
      <c r="AW71" s="29">
        <f t="shared" si="59"/>
        <v>0</v>
      </c>
      <c r="AX71" s="29">
        <f t="shared" si="60"/>
        <v>0</v>
      </c>
      <c r="AY71" s="63" t="s">
        <v>271</v>
      </c>
      <c r="AZ71" s="63" t="s">
        <v>134</v>
      </c>
      <c r="BA71" s="47" t="s">
        <v>135</v>
      </c>
      <c r="BC71" s="29">
        <f t="shared" si="61"/>
        <v>0</v>
      </c>
      <c r="BD71" s="29">
        <f t="shared" si="62"/>
        <v>0</v>
      </c>
      <c r="BE71" s="29">
        <v>0</v>
      </c>
      <c r="BF71" s="29">
        <f>71</f>
        <v>71</v>
      </c>
      <c r="BH71" s="29">
        <f t="shared" si="63"/>
        <v>0</v>
      </c>
      <c r="BI71" s="29">
        <f t="shared" si="64"/>
        <v>0</v>
      </c>
      <c r="BJ71" s="29">
        <f t="shared" si="65"/>
        <v>0</v>
      </c>
      <c r="BK71" s="29" t="s">
        <v>136</v>
      </c>
      <c r="BL71" s="29">
        <v>724</v>
      </c>
    </row>
    <row r="72" spans="1:64" ht="12.75">
      <c r="A72" s="30" t="s">
        <v>303</v>
      </c>
      <c r="B72" s="4" t="s">
        <v>304</v>
      </c>
      <c r="C72" s="87" t="s">
        <v>305</v>
      </c>
      <c r="D72" s="87"/>
      <c r="E72" s="87"/>
      <c r="F72" s="4" t="s">
        <v>140</v>
      </c>
      <c r="G72" s="29">
        <v>10</v>
      </c>
      <c r="H72" s="29">
        <v>0</v>
      </c>
      <c r="I72" s="29">
        <f t="shared" si="44"/>
        <v>0</v>
      </c>
      <c r="J72" s="29">
        <f t="shared" si="45"/>
        <v>0</v>
      </c>
      <c r="K72" s="29">
        <f t="shared" si="46"/>
        <v>0</v>
      </c>
      <c r="L72" s="62"/>
      <c r="M72" s="3"/>
      <c r="Z72" s="29">
        <f t="shared" si="47"/>
        <v>0</v>
      </c>
      <c r="AB72" s="29">
        <f t="shared" si="48"/>
        <v>0</v>
      </c>
      <c r="AC72" s="29">
        <f t="shared" si="49"/>
        <v>0</v>
      </c>
      <c r="AD72" s="29">
        <f t="shared" si="50"/>
        <v>0</v>
      </c>
      <c r="AE72" s="29">
        <f t="shared" si="51"/>
        <v>0</v>
      </c>
      <c r="AF72" s="29">
        <f t="shared" si="52"/>
        <v>0</v>
      </c>
      <c r="AG72" s="29">
        <f t="shared" si="53"/>
        <v>0</v>
      </c>
      <c r="AH72" s="29">
        <f t="shared" si="54"/>
        <v>0</v>
      </c>
      <c r="AI72" s="47"/>
      <c r="AJ72" s="29">
        <f t="shared" si="55"/>
        <v>0</v>
      </c>
      <c r="AK72" s="29">
        <f t="shared" si="56"/>
        <v>0</v>
      </c>
      <c r="AL72" s="29">
        <f t="shared" si="57"/>
        <v>0</v>
      </c>
      <c r="AN72" s="29">
        <v>15</v>
      </c>
      <c r="AO72" s="29">
        <f>H72*0.343701506948515</f>
        <v>0</v>
      </c>
      <c r="AP72" s="29">
        <f>H72*(1-0.343701506948515)</f>
        <v>0</v>
      </c>
      <c r="AQ72" s="63" t="s">
        <v>132</v>
      </c>
      <c r="AV72" s="29">
        <f t="shared" si="58"/>
        <v>0</v>
      </c>
      <c r="AW72" s="29">
        <f t="shared" si="59"/>
        <v>0</v>
      </c>
      <c r="AX72" s="29">
        <f t="shared" si="60"/>
        <v>0</v>
      </c>
      <c r="AY72" s="63" t="s">
        <v>271</v>
      </c>
      <c r="AZ72" s="63" t="s">
        <v>134</v>
      </c>
      <c r="BA72" s="47" t="s">
        <v>135</v>
      </c>
      <c r="BC72" s="29">
        <f t="shared" si="61"/>
        <v>0</v>
      </c>
      <c r="BD72" s="29">
        <f t="shared" si="62"/>
        <v>0</v>
      </c>
      <c r="BE72" s="29">
        <v>0</v>
      </c>
      <c r="BF72" s="29">
        <f>72</f>
        <v>72</v>
      </c>
      <c r="BH72" s="29">
        <f t="shared" si="63"/>
        <v>0</v>
      </c>
      <c r="BI72" s="29">
        <f t="shared" si="64"/>
        <v>0</v>
      </c>
      <c r="BJ72" s="29">
        <f t="shared" si="65"/>
        <v>0</v>
      </c>
      <c r="BK72" s="29" t="s">
        <v>136</v>
      </c>
      <c r="BL72" s="29">
        <v>724</v>
      </c>
    </row>
    <row r="73" spans="1:64" ht="12.75">
      <c r="A73" s="30" t="s">
        <v>306</v>
      </c>
      <c r="B73" s="4" t="s">
        <v>307</v>
      </c>
      <c r="C73" s="87" t="s">
        <v>308</v>
      </c>
      <c r="D73" s="87"/>
      <c r="E73" s="87"/>
      <c r="F73" s="4" t="s">
        <v>309</v>
      </c>
      <c r="G73" s="29">
        <v>120</v>
      </c>
      <c r="H73" s="29">
        <v>0</v>
      </c>
      <c r="I73" s="29">
        <f t="shared" si="44"/>
        <v>0</v>
      </c>
      <c r="J73" s="29">
        <f t="shared" si="45"/>
        <v>0</v>
      </c>
      <c r="K73" s="29">
        <f t="shared" si="46"/>
        <v>0</v>
      </c>
      <c r="L73" s="62"/>
      <c r="M73" s="3"/>
      <c r="Z73" s="29">
        <f t="shared" si="47"/>
        <v>0</v>
      </c>
      <c r="AB73" s="29">
        <f t="shared" si="48"/>
        <v>0</v>
      </c>
      <c r="AC73" s="29">
        <f t="shared" si="49"/>
        <v>0</v>
      </c>
      <c r="AD73" s="29">
        <f t="shared" si="50"/>
        <v>0</v>
      </c>
      <c r="AE73" s="29">
        <f t="shared" si="51"/>
        <v>0</v>
      </c>
      <c r="AF73" s="29">
        <f t="shared" si="52"/>
        <v>0</v>
      </c>
      <c r="AG73" s="29">
        <f t="shared" si="53"/>
        <v>0</v>
      </c>
      <c r="AH73" s="29">
        <f t="shared" si="54"/>
        <v>0</v>
      </c>
      <c r="AI73" s="47"/>
      <c r="AJ73" s="29">
        <f t="shared" si="55"/>
        <v>0</v>
      </c>
      <c r="AK73" s="29">
        <f t="shared" si="56"/>
        <v>0</v>
      </c>
      <c r="AL73" s="29">
        <f t="shared" si="57"/>
        <v>0</v>
      </c>
      <c r="AN73" s="29">
        <v>15</v>
      </c>
      <c r="AO73" s="29">
        <f>H73*0</f>
        <v>0</v>
      </c>
      <c r="AP73" s="29">
        <f>H73*(1-0)</f>
        <v>0</v>
      </c>
      <c r="AQ73" s="63" t="s">
        <v>132</v>
      </c>
      <c r="AV73" s="29">
        <f t="shared" si="58"/>
        <v>0</v>
      </c>
      <c r="AW73" s="29">
        <f t="shared" si="59"/>
        <v>0</v>
      </c>
      <c r="AX73" s="29">
        <f t="shared" si="60"/>
        <v>0</v>
      </c>
      <c r="AY73" s="63" t="s">
        <v>271</v>
      </c>
      <c r="AZ73" s="63" t="s">
        <v>134</v>
      </c>
      <c r="BA73" s="47" t="s">
        <v>135</v>
      </c>
      <c r="BC73" s="29">
        <f t="shared" si="61"/>
        <v>0</v>
      </c>
      <c r="BD73" s="29">
        <f t="shared" si="62"/>
        <v>0</v>
      </c>
      <c r="BE73" s="29">
        <v>0</v>
      </c>
      <c r="BF73" s="29">
        <f>73</f>
        <v>73</v>
      </c>
      <c r="BH73" s="29">
        <f t="shared" si="63"/>
        <v>0</v>
      </c>
      <c r="BI73" s="29">
        <f t="shared" si="64"/>
        <v>0</v>
      </c>
      <c r="BJ73" s="29">
        <f t="shared" si="65"/>
        <v>0</v>
      </c>
      <c r="BK73" s="29" t="s">
        <v>136</v>
      </c>
      <c r="BL73" s="29">
        <v>724</v>
      </c>
    </row>
    <row r="74" spans="1:64" ht="12.75">
      <c r="A74" s="30" t="s">
        <v>310</v>
      </c>
      <c r="B74" s="4" t="s">
        <v>307</v>
      </c>
      <c r="C74" s="87" t="s">
        <v>311</v>
      </c>
      <c r="D74" s="87"/>
      <c r="E74" s="87"/>
      <c r="F74" s="4" t="s">
        <v>309</v>
      </c>
      <c r="G74" s="29">
        <v>36</v>
      </c>
      <c r="H74" s="29">
        <v>0</v>
      </c>
      <c r="I74" s="29">
        <f t="shared" si="44"/>
        <v>0</v>
      </c>
      <c r="J74" s="29">
        <f t="shared" si="45"/>
        <v>0</v>
      </c>
      <c r="K74" s="29">
        <f t="shared" si="46"/>
        <v>0</v>
      </c>
      <c r="L74" s="62"/>
      <c r="M74" s="3"/>
      <c r="Z74" s="29">
        <f t="shared" si="47"/>
        <v>0</v>
      </c>
      <c r="AB74" s="29">
        <f t="shared" si="48"/>
        <v>0</v>
      </c>
      <c r="AC74" s="29">
        <f t="shared" si="49"/>
        <v>0</v>
      </c>
      <c r="AD74" s="29">
        <f t="shared" si="50"/>
        <v>0</v>
      </c>
      <c r="AE74" s="29">
        <f t="shared" si="51"/>
        <v>0</v>
      </c>
      <c r="AF74" s="29">
        <f t="shared" si="52"/>
        <v>0</v>
      </c>
      <c r="AG74" s="29">
        <f t="shared" si="53"/>
        <v>0</v>
      </c>
      <c r="AH74" s="29">
        <f t="shared" si="54"/>
        <v>0</v>
      </c>
      <c r="AI74" s="47"/>
      <c r="AJ74" s="29">
        <f t="shared" si="55"/>
        <v>0</v>
      </c>
      <c r="AK74" s="29">
        <f t="shared" si="56"/>
        <v>0</v>
      </c>
      <c r="AL74" s="29">
        <f t="shared" si="57"/>
        <v>0</v>
      </c>
      <c r="AN74" s="29">
        <v>15</v>
      </c>
      <c r="AO74" s="29">
        <f>H74*0</f>
        <v>0</v>
      </c>
      <c r="AP74" s="29">
        <f>H74*(1-0)</f>
        <v>0</v>
      </c>
      <c r="AQ74" s="63" t="s">
        <v>132</v>
      </c>
      <c r="AV74" s="29">
        <f t="shared" si="58"/>
        <v>0</v>
      </c>
      <c r="AW74" s="29">
        <f t="shared" si="59"/>
        <v>0</v>
      </c>
      <c r="AX74" s="29">
        <f t="shared" si="60"/>
        <v>0</v>
      </c>
      <c r="AY74" s="63" t="s">
        <v>271</v>
      </c>
      <c r="AZ74" s="63" t="s">
        <v>134</v>
      </c>
      <c r="BA74" s="47" t="s">
        <v>135</v>
      </c>
      <c r="BC74" s="29">
        <f t="shared" si="61"/>
        <v>0</v>
      </c>
      <c r="BD74" s="29">
        <f t="shared" si="62"/>
        <v>0</v>
      </c>
      <c r="BE74" s="29">
        <v>0</v>
      </c>
      <c r="BF74" s="29">
        <f>74</f>
        <v>74</v>
      </c>
      <c r="BH74" s="29">
        <f t="shared" si="63"/>
        <v>0</v>
      </c>
      <c r="BI74" s="29">
        <f t="shared" si="64"/>
        <v>0</v>
      </c>
      <c r="BJ74" s="29">
        <f t="shared" si="65"/>
        <v>0</v>
      </c>
      <c r="BK74" s="29" t="s">
        <v>136</v>
      </c>
      <c r="BL74" s="29">
        <v>724</v>
      </c>
    </row>
    <row r="75" spans="1:64" ht="12.75">
      <c r="A75" s="30" t="s">
        <v>312</v>
      </c>
      <c r="B75" s="4" t="s">
        <v>253</v>
      </c>
      <c r="C75" s="87" t="s">
        <v>313</v>
      </c>
      <c r="D75" s="87"/>
      <c r="E75" s="87"/>
      <c r="F75" s="4" t="s">
        <v>131</v>
      </c>
      <c r="G75" s="29">
        <v>370</v>
      </c>
      <c r="H75" s="29">
        <v>0</v>
      </c>
      <c r="I75" s="29">
        <f t="shared" si="44"/>
        <v>0</v>
      </c>
      <c r="J75" s="29">
        <f t="shared" si="45"/>
        <v>0</v>
      </c>
      <c r="K75" s="29">
        <f t="shared" si="46"/>
        <v>0</v>
      </c>
      <c r="L75" s="62"/>
      <c r="M75" s="3"/>
      <c r="Z75" s="29">
        <f t="shared" si="47"/>
        <v>0</v>
      </c>
      <c r="AB75" s="29">
        <f t="shared" si="48"/>
        <v>0</v>
      </c>
      <c r="AC75" s="29">
        <f t="shared" si="49"/>
        <v>0</v>
      </c>
      <c r="AD75" s="29">
        <f t="shared" si="50"/>
        <v>0</v>
      </c>
      <c r="AE75" s="29">
        <f t="shared" si="51"/>
        <v>0</v>
      </c>
      <c r="AF75" s="29">
        <f t="shared" si="52"/>
        <v>0</v>
      </c>
      <c r="AG75" s="29">
        <f t="shared" si="53"/>
        <v>0</v>
      </c>
      <c r="AH75" s="29">
        <f t="shared" si="54"/>
        <v>0</v>
      </c>
      <c r="AI75" s="47"/>
      <c r="AJ75" s="29">
        <f t="shared" si="55"/>
        <v>0</v>
      </c>
      <c r="AK75" s="29">
        <f t="shared" si="56"/>
        <v>0</v>
      </c>
      <c r="AL75" s="29">
        <f t="shared" si="57"/>
        <v>0</v>
      </c>
      <c r="AN75" s="29">
        <v>15</v>
      </c>
      <c r="AO75" s="29">
        <f>H75*0.0146955913226032</f>
        <v>0</v>
      </c>
      <c r="AP75" s="29">
        <f>H75*(1-0.0146955913226032)</f>
        <v>0</v>
      </c>
      <c r="AQ75" s="63" t="s">
        <v>132</v>
      </c>
      <c r="AV75" s="29">
        <f t="shared" si="58"/>
        <v>0</v>
      </c>
      <c r="AW75" s="29">
        <f t="shared" si="59"/>
        <v>0</v>
      </c>
      <c r="AX75" s="29">
        <f t="shared" si="60"/>
        <v>0</v>
      </c>
      <c r="AY75" s="63" t="s">
        <v>271</v>
      </c>
      <c r="AZ75" s="63" t="s">
        <v>134</v>
      </c>
      <c r="BA75" s="47" t="s">
        <v>135</v>
      </c>
      <c r="BC75" s="29">
        <f t="shared" si="61"/>
        <v>0</v>
      </c>
      <c r="BD75" s="29">
        <f t="shared" si="62"/>
        <v>0</v>
      </c>
      <c r="BE75" s="29">
        <v>0</v>
      </c>
      <c r="BF75" s="29">
        <f>75</f>
        <v>75</v>
      </c>
      <c r="BH75" s="29">
        <f t="shared" si="63"/>
        <v>0</v>
      </c>
      <c r="BI75" s="29">
        <f t="shared" si="64"/>
        <v>0</v>
      </c>
      <c r="BJ75" s="29">
        <f t="shared" si="65"/>
        <v>0</v>
      </c>
      <c r="BK75" s="29" t="s">
        <v>136</v>
      </c>
      <c r="BL75" s="29">
        <v>724</v>
      </c>
    </row>
    <row r="76" spans="1:64" ht="12.75">
      <c r="A76" s="30" t="s">
        <v>314</v>
      </c>
      <c r="B76" s="4" t="s">
        <v>259</v>
      </c>
      <c r="C76" s="87" t="s">
        <v>315</v>
      </c>
      <c r="D76" s="87"/>
      <c r="E76" s="87"/>
      <c r="F76" s="4" t="s">
        <v>131</v>
      </c>
      <c r="G76" s="29">
        <v>370</v>
      </c>
      <c r="H76" s="29">
        <v>0</v>
      </c>
      <c r="I76" s="29">
        <f t="shared" si="44"/>
        <v>0</v>
      </c>
      <c r="J76" s="29">
        <f t="shared" si="45"/>
        <v>0</v>
      </c>
      <c r="K76" s="29">
        <f t="shared" si="46"/>
        <v>0</v>
      </c>
      <c r="L76" s="62"/>
      <c r="M76" s="3"/>
      <c r="Z76" s="29">
        <f t="shared" si="47"/>
        <v>0</v>
      </c>
      <c r="AB76" s="29">
        <f t="shared" si="48"/>
        <v>0</v>
      </c>
      <c r="AC76" s="29">
        <f t="shared" si="49"/>
        <v>0</v>
      </c>
      <c r="AD76" s="29">
        <f t="shared" si="50"/>
        <v>0</v>
      </c>
      <c r="AE76" s="29">
        <f t="shared" si="51"/>
        <v>0</v>
      </c>
      <c r="AF76" s="29">
        <f t="shared" si="52"/>
        <v>0</v>
      </c>
      <c r="AG76" s="29">
        <f t="shared" si="53"/>
        <v>0</v>
      </c>
      <c r="AH76" s="29">
        <f t="shared" si="54"/>
        <v>0</v>
      </c>
      <c r="AI76" s="47"/>
      <c r="AJ76" s="29">
        <f t="shared" si="55"/>
        <v>0</v>
      </c>
      <c r="AK76" s="29">
        <f t="shared" si="56"/>
        <v>0</v>
      </c>
      <c r="AL76" s="29">
        <f t="shared" si="57"/>
        <v>0</v>
      </c>
      <c r="AN76" s="29">
        <v>15</v>
      </c>
      <c r="AO76" s="29">
        <f>H76*0.0512578616352201</f>
        <v>0</v>
      </c>
      <c r="AP76" s="29">
        <f>H76*(1-0.0512578616352201)</f>
        <v>0</v>
      </c>
      <c r="AQ76" s="63" t="s">
        <v>132</v>
      </c>
      <c r="AV76" s="29">
        <f t="shared" si="58"/>
        <v>0</v>
      </c>
      <c r="AW76" s="29">
        <f t="shared" si="59"/>
        <v>0</v>
      </c>
      <c r="AX76" s="29">
        <f t="shared" si="60"/>
        <v>0</v>
      </c>
      <c r="AY76" s="63" t="s">
        <v>271</v>
      </c>
      <c r="AZ76" s="63" t="s">
        <v>134</v>
      </c>
      <c r="BA76" s="47" t="s">
        <v>135</v>
      </c>
      <c r="BC76" s="29">
        <f t="shared" si="61"/>
        <v>0</v>
      </c>
      <c r="BD76" s="29">
        <f t="shared" si="62"/>
        <v>0</v>
      </c>
      <c r="BE76" s="29">
        <v>0</v>
      </c>
      <c r="BF76" s="29">
        <f>76</f>
        <v>76</v>
      </c>
      <c r="BH76" s="29">
        <f t="shared" si="63"/>
        <v>0</v>
      </c>
      <c r="BI76" s="29">
        <f t="shared" si="64"/>
        <v>0</v>
      </c>
      <c r="BJ76" s="29">
        <f t="shared" si="65"/>
        <v>0</v>
      </c>
      <c r="BK76" s="29" t="s">
        <v>136</v>
      </c>
      <c r="BL76" s="29">
        <v>724</v>
      </c>
    </row>
    <row r="77" spans="1:64" ht="12.75">
      <c r="A77" s="30" t="s">
        <v>316</v>
      </c>
      <c r="B77" s="4" t="s">
        <v>317</v>
      </c>
      <c r="C77" s="87" t="s">
        <v>318</v>
      </c>
      <c r="D77" s="87"/>
      <c r="E77" s="87"/>
      <c r="F77" s="4" t="s">
        <v>187</v>
      </c>
      <c r="G77" s="29">
        <v>0.1</v>
      </c>
      <c r="H77" s="29">
        <v>0</v>
      </c>
      <c r="I77" s="29">
        <f t="shared" si="44"/>
        <v>0</v>
      </c>
      <c r="J77" s="29">
        <f t="shared" si="45"/>
        <v>0</v>
      </c>
      <c r="K77" s="29">
        <f t="shared" si="46"/>
        <v>0</v>
      </c>
      <c r="L77" s="62"/>
      <c r="M77" s="3"/>
      <c r="Z77" s="29">
        <f t="shared" si="47"/>
        <v>0</v>
      </c>
      <c r="AB77" s="29">
        <f t="shared" si="48"/>
        <v>0</v>
      </c>
      <c r="AC77" s="29">
        <f t="shared" si="49"/>
        <v>0</v>
      </c>
      <c r="AD77" s="29">
        <f t="shared" si="50"/>
        <v>0</v>
      </c>
      <c r="AE77" s="29">
        <f t="shared" si="51"/>
        <v>0</v>
      </c>
      <c r="AF77" s="29">
        <f t="shared" si="52"/>
        <v>0</v>
      </c>
      <c r="AG77" s="29">
        <f t="shared" si="53"/>
        <v>0</v>
      </c>
      <c r="AH77" s="29">
        <f t="shared" si="54"/>
        <v>0</v>
      </c>
      <c r="AI77" s="47"/>
      <c r="AJ77" s="29">
        <f t="shared" si="55"/>
        <v>0</v>
      </c>
      <c r="AK77" s="29">
        <f t="shared" si="56"/>
        <v>0</v>
      </c>
      <c r="AL77" s="29">
        <f t="shared" si="57"/>
        <v>0</v>
      </c>
      <c r="AN77" s="29">
        <v>15</v>
      </c>
      <c r="AO77" s="29">
        <f>H77*0</f>
        <v>0</v>
      </c>
      <c r="AP77" s="29">
        <f>H77*(1-0)</f>
        <v>0</v>
      </c>
      <c r="AQ77" s="63" t="s">
        <v>132</v>
      </c>
      <c r="AV77" s="29">
        <f t="shared" si="58"/>
        <v>0</v>
      </c>
      <c r="AW77" s="29">
        <f t="shared" si="59"/>
        <v>0</v>
      </c>
      <c r="AX77" s="29">
        <f t="shared" si="60"/>
        <v>0</v>
      </c>
      <c r="AY77" s="63" t="s">
        <v>271</v>
      </c>
      <c r="AZ77" s="63" t="s">
        <v>134</v>
      </c>
      <c r="BA77" s="47" t="s">
        <v>135</v>
      </c>
      <c r="BC77" s="29">
        <f t="shared" si="61"/>
        <v>0</v>
      </c>
      <c r="BD77" s="29">
        <f t="shared" si="62"/>
        <v>0</v>
      </c>
      <c r="BE77" s="29">
        <v>0</v>
      </c>
      <c r="BF77" s="29">
        <f>77</f>
        <v>77</v>
      </c>
      <c r="BH77" s="29">
        <f t="shared" si="63"/>
        <v>0</v>
      </c>
      <c r="BI77" s="29">
        <f t="shared" si="64"/>
        <v>0</v>
      </c>
      <c r="BJ77" s="29">
        <f t="shared" si="65"/>
        <v>0</v>
      </c>
      <c r="BK77" s="29" t="s">
        <v>136</v>
      </c>
      <c r="BL77" s="29">
        <v>724</v>
      </c>
    </row>
    <row r="78" spans="1:47" ht="12.75">
      <c r="A78" s="64"/>
      <c r="B78" s="65" t="s">
        <v>75</v>
      </c>
      <c r="C78" s="111" t="s">
        <v>76</v>
      </c>
      <c r="D78" s="111"/>
      <c r="E78" s="111"/>
      <c r="F78" s="66" t="s">
        <v>99</v>
      </c>
      <c r="G78" s="66" t="s">
        <v>99</v>
      </c>
      <c r="H78" s="66" t="s">
        <v>99</v>
      </c>
      <c r="I78" s="61">
        <f>SUM(I79:I100)</f>
        <v>0</v>
      </c>
      <c r="J78" s="61">
        <f>SUM(J79:J100)</f>
        <v>0</v>
      </c>
      <c r="K78" s="61">
        <f>SUM(K79:K100)</f>
        <v>0</v>
      </c>
      <c r="L78" s="67"/>
      <c r="M78" s="3"/>
      <c r="AI78" s="47"/>
      <c r="AS78" s="61">
        <f>SUM(AJ79:AJ100)</f>
        <v>0</v>
      </c>
      <c r="AT78" s="61">
        <f>SUM(AK79:AK100)</f>
        <v>0</v>
      </c>
      <c r="AU78" s="61">
        <f>SUM(AL79:AL100)</f>
        <v>0</v>
      </c>
    </row>
    <row r="79" spans="1:64" ht="12.75">
      <c r="A79" s="30" t="s">
        <v>319</v>
      </c>
      <c r="B79" s="4" t="s">
        <v>320</v>
      </c>
      <c r="C79" s="87" t="s">
        <v>321</v>
      </c>
      <c r="D79" s="87"/>
      <c r="E79" s="87"/>
      <c r="F79" s="4" t="s">
        <v>131</v>
      </c>
      <c r="G79" s="29">
        <v>220</v>
      </c>
      <c r="H79" s="29">
        <v>0</v>
      </c>
      <c r="I79" s="29">
        <f aca="true" t="shared" si="66" ref="I79:I100">G79*AO79</f>
        <v>0</v>
      </c>
      <c r="J79" s="29">
        <f aca="true" t="shared" si="67" ref="J79:J100">G79*AP79</f>
        <v>0</v>
      </c>
      <c r="K79" s="29">
        <f aca="true" t="shared" si="68" ref="K79:K100">G79*H79</f>
        <v>0</v>
      </c>
      <c r="L79" s="62"/>
      <c r="M79" s="3"/>
      <c r="Z79" s="29">
        <f aca="true" t="shared" si="69" ref="Z79:Z100">IF(AQ79="5",BJ79,0)</f>
        <v>0</v>
      </c>
      <c r="AB79" s="29">
        <f aca="true" t="shared" si="70" ref="AB79:AB100">IF(AQ79="1",BH79,0)</f>
        <v>0</v>
      </c>
      <c r="AC79" s="29">
        <f aca="true" t="shared" si="71" ref="AC79:AC100">IF(AQ79="1",BI79,0)</f>
        <v>0</v>
      </c>
      <c r="AD79" s="29">
        <f aca="true" t="shared" si="72" ref="AD79:AD100">IF(AQ79="7",BH79,0)</f>
        <v>0</v>
      </c>
      <c r="AE79" s="29">
        <f aca="true" t="shared" si="73" ref="AE79:AE100">IF(AQ79="7",BI79,0)</f>
        <v>0</v>
      </c>
      <c r="AF79" s="29">
        <f aca="true" t="shared" si="74" ref="AF79:AF100">IF(AQ79="2",BH79,0)</f>
        <v>0</v>
      </c>
      <c r="AG79" s="29">
        <f aca="true" t="shared" si="75" ref="AG79:AG100">IF(AQ79="2",BI79,0)</f>
        <v>0</v>
      </c>
      <c r="AH79" s="29">
        <f aca="true" t="shared" si="76" ref="AH79:AH100">IF(AQ79="0",BJ79,0)</f>
        <v>0</v>
      </c>
      <c r="AI79" s="47"/>
      <c r="AJ79" s="29">
        <f aca="true" t="shared" si="77" ref="AJ79:AJ100">IF(AN79=0,K79,0)</f>
        <v>0</v>
      </c>
      <c r="AK79" s="29">
        <f aca="true" t="shared" si="78" ref="AK79:AK100">IF(AN79=15,K79,0)</f>
        <v>0</v>
      </c>
      <c r="AL79" s="29">
        <f aca="true" t="shared" si="79" ref="AL79:AL100">IF(AN79=21,K79,0)</f>
        <v>0</v>
      </c>
      <c r="AN79" s="29">
        <v>15</v>
      </c>
      <c r="AO79" s="29">
        <f>H79*0</f>
        <v>0</v>
      </c>
      <c r="AP79" s="29">
        <f>H79*(1-0)</f>
        <v>0</v>
      </c>
      <c r="AQ79" s="63" t="s">
        <v>132</v>
      </c>
      <c r="AV79" s="29">
        <f aca="true" t="shared" si="80" ref="AV79:AV100">AW79+AX79</f>
        <v>0</v>
      </c>
      <c r="AW79" s="29">
        <f aca="true" t="shared" si="81" ref="AW79:AW100">G79*AO79</f>
        <v>0</v>
      </c>
      <c r="AX79" s="29">
        <f aca="true" t="shared" si="82" ref="AX79:AX100">G79*AP79</f>
        <v>0</v>
      </c>
      <c r="AY79" s="63" t="s">
        <v>322</v>
      </c>
      <c r="AZ79" s="63" t="s">
        <v>134</v>
      </c>
      <c r="BA79" s="47" t="s">
        <v>135</v>
      </c>
      <c r="BC79" s="29">
        <f aca="true" t="shared" si="83" ref="BC79:BC100">AW79+AX79</f>
        <v>0</v>
      </c>
      <c r="BD79" s="29">
        <f aca="true" t="shared" si="84" ref="BD79:BD100">H79/(100-BE79)*100</f>
        <v>0</v>
      </c>
      <c r="BE79" s="29">
        <v>0</v>
      </c>
      <c r="BF79" s="29">
        <f>79</f>
        <v>79</v>
      </c>
      <c r="BH79" s="29">
        <f aca="true" t="shared" si="85" ref="BH79:BH100">G79*AO79</f>
        <v>0</v>
      </c>
      <c r="BI79" s="29">
        <f aca="true" t="shared" si="86" ref="BI79:BI100">G79*AP79</f>
        <v>0</v>
      </c>
      <c r="BJ79" s="29">
        <f aca="true" t="shared" si="87" ref="BJ79:BJ100">G79*H79</f>
        <v>0</v>
      </c>
      <c r="BK79" s="29" t="s">
        <v>136</v>
      </c>
      <c r="BL79" s="29">
        <v>725</v>
      </c>
    </row>
    <row r="80" spans="1:64" ht="12.75">
      <c r="A80" s="30" t="s">
        <v>323</v>
      </c>
      <c r="B80" s="4" t="s">
        <v>324</v>
      </c>
      <c r="C80" s="87" t="s">
        <v>325</v>
      </c>
      <c r="D80" s="87"/>
      <c r="E80" s="87"/>
      <c r="F80" s="4" t="s">
        <v>140</v>
      </c>
      <c r="G80" s="29">
        <v>124</v>
      </c>
      <c r="H80" s="29">
        <v>0</v>
      </c>
      <c r="I80" s="29">
        <f t="shared" si="66"/>
        <v>0</v>
      </c>
      <c r="J80" s="29">
        <f t="shared" si="67"/>
        <v>0</v>
      </c>
      <c r="K80" s="29">
        <f t="shared" si="68"/>
        <v>0</v>
      </c>
      <c r="L80" s="62"/>
      <c r="M80" s="3"/>
      <c r="Z80" s="29">
        <f t="shared" si="69"/>
        <v>0</v>
      </c>
      <c r="AB80" s="29">
        <f t="shared" si="70"/>
        <v>0</v>
      </c>
      <c r="AC80" s="29">
        <f t="shared" si="71"/>
        <v>0</v>
      </c>
      <c r="AD80" s="29">
        <f t="shared" si="72"/>
        <v>0</v>
      </c>
      <c r="AE80" s="29">
        <f t="shared" si="73"/>
        <v>0</v>
      </c>
      <c r="AF80" s="29">
        <f t="shared" si="74"/>
        <v>0</v>
      </c>
      <c r="AG80" s="29">
        <f t="shared" si="75"/>
        <v>0</v>
      </c>
      <c r="AH80" s="29">
        <f t="shared" si="76"/>
        <v>0</v>
      </c>
      <c r="AI80" s="47"/>
      <c r="AJ80" s="29">
        <f t="shared" si="77"/>
        <v>0</v>
      </c>
      <c r="AK80" s="29">
        <f t="shared" si="78"/>
        <v>0</v>
      </c>
      <c r="AL80" s="29">
        <f t="shared" si="79"/>
        <v>0</v>
      </c>
      <c r="AN80" s="29">
        <v>15</v>
      </c>
      <c r="AO80" s="29">
        <f>H80*0</f>
        <v>0</v>
      </c>
      <c r="AP80" s="29">
        <f>H80*(1-0)</f>
        <v>0</v>
      </c>
      <c r="AQ80" s="63" t="s">
        <v>132</v>
      </c>
      <c r="AV80" s="29">
        <f t="shared" si="80"/>
        <v>0</v>
      </c>
      <c r="AW80" s="29">
        <f t="shared" si="81"/>
        <v>0</v>
      </c>
      <c r="AX80" s="29">
        <f t="shared" si="82"/>
        <v>0</v>
      </c>
      <c r="AY80" s="63" t="s">
        <v>322</v>
      </c>
      <c r="AZ80" s="63" t="s">
        <v>134</v>
      </c>
      <c r="BA80" s="47" t="s">
        <v>135</v>
      </c>
      <c r="BC80" s="29">
        <f t="shared" si="83"/>
        <v>0</v>
      </c>
      <c r="BD80" s="29">
        <f t="shared" si="84"/>
        <v>0</v>
      </c>
      <c r="BE80" s="29">
        <v>0</v>
      </c>
      <c r="BF80" s="29">
        <f>80</f>
        <v>80</v>
      </c>
      <c r="BH80" s="29">
        <f t="shared" si="85"/>
        <v>0</v>
      </c>
      <c r="BI80" s="29">
        <f t="shared" si="86"/>
        <v>0</v>
      </c>
      <c r="BJ80" s="29">
        <f t="shared" si="87"/>
        <v>0</v>
      </c>
      <c r="BK80" s="29" t="s">
        <v>136</v>
      </c>
      <c r="BL80" s="29">
        <v>725</v>
      </c>
    </row>
    <row r="81" spans="1:64" ht="12.75">
      <c r="A81" s="30" t="s">
        <v>326</v>
      </c>
      <c r="B81" s="4" t="s">
        <v>327</v>
      </c>
      <c r="C81" s="87" t="s">
        <v>328</v>
      </c>
      <c r="D81" s="87"/>
      <c r="E81" s="87"/>
      <c r="F81" s="4" t="s">
        <v>140</v>
      </c>
      <c r="G81" s="29">
        <v>31</v>
      </c>
      <c r="H81" s="29">
        <v>0</v>
      </c>
      <c r="I81" s="29">
        <f t="shared" si="66"/>
        <v>0</v>
      </c>
      <c r="J81" s="29">
        <f t="shared" si="67"/>
        <v>0</v>
      </c>
      <c r="K81" s="29">
        <f t="shared" si="68"/>
        <v>0</v>
      </c>
      <c r="L81" s="62"/>
      <c r="M81" s="3"/>
      <c r="Z81" s="29">
        <f t="shared" si="69"/>
        <v>0</v>
      </c>
      <c r="AB81" s="29">
        <f t="shared" si="70"/>
        <v>0</v>
      </c>
      <c r="AC81" s="29">
        <f t="shared" si="71"/>
        <v>0</v>
      </c>
      <c r="AD81" s="29">
        <f t="shared" si="72"/>
        <v>0</v>
      </c>
      <c r="AE81" s="29">
        <f t="shared" si="73"/>
        <v>0</v>
      </c>
      <c r="AF81" s="29">
        <f t="shared" si="74"/>
        <v>0</v>
      </c>
      <c r="AG81" s="29">
        <f t="shared" si="75"/>
        <v>0</v>
      </c>
      <c r="AH81" s="29">
        <f t="shared" si="76"/>
        <v>0</v>
      </c>
      <c r="AI81" s="47"/>
      <c r="AJ81" s="29">
        <f t="shared" si="77"/>
        <v>0</v>
      </c>
      <c r="AK81" s="29">
        <f t="shared" si="78"/>
        <v>0</v>
      </c>
      <c r="AL81" s="29">
        <f t="shared" si="79"/>
        <v>0</v>
      </c>
      <c r="AN81" s="29">
        <v>15</v>
      </c>
      <c r="AO81" s="29">
        <f>H81*0</f>
        <v>0</v>
      </c>
      <c r="AP81" s="29">
        <f>H81*(1-0)</f>
        <v>0</v>
      </c>
      <c r="AQ81" s="63" t="s">
        <v>132</v>
      </c>
      <c r="AV81" s="29">
        <f t="shared" si="80"/>
        <v>0</v>
      </c>
      <c r="AW81" s="29">
        <f t="shared" si="81"/>
        <v>0</v>
      </c>
      <c r="AX81" s="29">
        <f t="shared" si="82"/>
        <v>0</v>
      </c>
      <c r="AY81" s="63" t="s">
        <v>322</v>
      </c>
      <c r="AZ81" s="63" t="s">
        <v>134</v>
      </c>
      <c r="BA81" s="47" t="s">
        <v>135</v>
      </c>
      <c r="BC81" s="29">
        <f t="shared" si="83"/>
        <v>0</v>
      </c>
      <c r="BD81" s="29">
        <f t="shared" si="84"/>
        <v>0</v>
      </c>
      <c r="BE81" s="29">
        <v>0</v>
      </c>
      <c r="BF81" s="29">
        <f>81</f>
        <v>81</v>
      </c>
      <c r="BH81" s="29">
        <f t="shared" si="85"/>
        <v>0</v>
      </c>
      <c r="BI81" s="29">
        <f t="shared" si="86"/>
        <v>0</v>
      </c>
      <c r="BJ81" s="29">
        <f t="shared" si="87"/>
        <v>0</v>
      </c>
      <c r="BK81" s="29" t="s">
        <v>136</v>
      </c>
      <c r="BL81" s="29">
        <v>725</v>
      </c>
    </row>
    <row r="82" spans="1:64" ht="12.75">
      <c r="A82" s="30" t="s">
        <v>329</v>
      </c>
      <c r="B82" s="4" t="s">
        <v>330</v>
      </c>
      <c r="C82" s="87" t="s">
        <v>331</v>
      </c>
      <c r="D82" s="87"/>
      <c r="E82" s="87"/>
      <c r="F82" s="4" t="s">
        <v>332</v>
      </c>
      <c r="G82" s="29">
        <v>93</v>
      </c>
      <c r="H82" s="29">
        <v>0</v>
      </c>
      <c r="I82" s="29">
        <f t="shared" si="66"/>
        <v>0</v>
      </c>
      <c r="J82" s="29">
        <f t="shared" si="67"/>
        <v>0</v>
      </c>
      <c r="K82" s="29">
        <f t="shared" si="68"/>
        <v>0</v>
      </c>
      <c r="L82" s="62"/>
      <c r="M82" s="3"/>
      <c r="Z82" s="29">
        <f t="shared" si="69"/>
        <v>0</v>
      </c>
      <c r="AB82" s="29">
        <f t="shared" si="70"/>
        <v>0</v>
      </c>
      <c r="AC82" s="29">
        <f t="shared" si="71"/>
        <v>0</v>
      </c>
      <c r="AD82" s="29">
        <f t="shared" si="72"/>
        <v>0</v>
      </c>
      <c r="AE82" s="29">
        <f t="shared" si="73"/>
        <v>0</v>
      </c>
      <c r="AF82" s="29">
        <f t="shared" si="74"/>
        <v>0</v>
      </c>
      <c r="AG82" s="29">
        <f t="shared" si="75"/>
        <v>0</v>
      </c>
      <c r="AH82" s="29">
        <f t="shared" si="76"/>
        <v>0</v>
      </c>
      <c r="AI82" s="47"/>
      <c r="AJ82" s="29">
        <f t="shared" si="77"/>
        <v>0</v>
      </c>
      <c r="AK82" s="29">
        <f t="shared" si="78"/>
        <v>0</v>
      </c>
      <c r="AL82" s="29">
        <f t="shared" si="79"/>
        <v>0</v>
      </c>
      <c r="AN82" s="29">
        <v>15</v>
      </c>
      <c r="AO82" s="29">
        <f>H82*0</f>
        <v>0</v>
      </c>
      <c r="AP82" s="29">
        <f>H82*(1-0)</f>
        <v>0</v>
      </c>
      <c r="AQ82" s="63" t="s">
        <v>132</v>
      </c>
      <c r="AV82" s="29">
        <f t="shared" si="80"/>
        <v>0</v>
      </c>
      <c r="AW82" s="29">
        <f t="shared" si="81"/>
        <v>0</v>
      </c>
      <c r="AX82" s="29">
        <f t="shared" si="82"/>
        <v>0</v>
      </c>
      <c r="AY82" s="63" t="s">
        <v>322</v>
      </c>
      <c r="AZ82" s="63" t="s">
        <v>134</v>
      </c>
      <c r="BA82" s="47" t="s">
        <v>135</v>
      </c>
      <c r="BC82" s="29">
        <f t="shared" si="83"/>
        <v>0</v>
      </c>
      <c r="BD82" s="29">
        <f t="shared" si="84"/>
        <v>0</v>
      </c>
      <c r="BE82" s="29">
        <v>0</v>
      </c>
      <c r="BF82" s="29">
        <f>82</f>
        <v>82</v>
      </c>
      <c r="BH82" s="29">
        <f t="shared" si="85"/>
        <v>0</v>
      </c>
      <c r="BI82" s="29">
        <f t="shared" si="86"/>
        <v>0</v>
      </c>
      <c r="BJ82" s="29">
        <f t="shared" si="87"/>
        <v>0</v>
      </c>
      <c r="BK82" s="29" t="s">
        <v>136</v>
      </c>
      <c r="BL82" s="29">
        <v>725</v>
      </c>
    </row>
    <row r="83" spans="1:64" ht="12.75">
      <c r="A83" s="30" t="s">
        <v>333</v>
      </c>
      <c r="B83" s="4" t="s">
        <v>273</v>
      </c>
      <c r="C83" s="87" t="s">
        <v>274</v>
      </c>
      <c r="D83" s="87"/>
      <c r="E83" s="87"/>
      <c r="F83" s="4" t="s">
        <v>131</v>
      </c>
      <c r="G83" s="29">
        <v>220</v>
      </c>
      <c r="H83" s="29">
        <v>0</v>
      </c>
      <c r="I83" s="29">
        <f t="shared" si="66"/>
        <v>0</v>
      </c>
      <c r="J83" s="29">
        <f t="shared" si="67"/>
        <v>0</v>
      </c>
      <c r="K83" s="29">
        <f t="shared" si="68"/>
        <v>0</v>
      </c>
      <c r="L83" s="62"/>
      <c r="M83" s="3"/>
      <c r="Z83" s="29">
        <f t="shared" si="69"/>
        <v>0</v>
      </c>
      <c r="AB83" s="29">
        <f t="shared" si="70"/>
        <v>0</v>
      </c>
      <c r="AC83" s="29">
        <f t="shared" si="71"/>
        <v>0</v>
      </c>
      <c r="AD83" s="29">
        <f t="shared" si="72"/>
        <v>0</v>
      </c>
      <c r="AE83" s="29">
        <f t="shared" si="73"/>
        <v>0</v>
      </c>
      <c r="AF83" s="29">
        <f t="shared" si="74"/>
        <v>0</v>
      </c>
      <c r="AG83" s="29">
        <f t="shared" si="75"/>
        <v>0</v>
      </c>
      <c r="AH83" s="29">
        <f t="shared" si="76"/>
        <v>0</v>
      </c>
      <c r="AI83" s="47"/>
      <c r="AJ83" s="29">
        <f t="shared" si="77"/>
        <v>0</v>
      </c>
      <c r="AK83" s="29">
        <f t="shared" si="78"/>
        <v>0</v>
      </c>
      <c r="AL83" s="29">
        <f t="shared" si="79"/>
        <v>0</v>
      </c>
      <c r="AN83" s="29">
        <v>15</v>
      </c>
      <c r="AO83" s="29">
        <f>H83*0.38939122463436</f>
        <v>0</v>
      </c>
      <c r="AP83" s="29">
        <f>H83*(1-0.38939122463436)</f>
        <v>0</v>
      </c>
      <c r="AQ83" s="63" t="s">
        <v>132</v>
      </c>
      <c r="AV83" s="29">
        <f t="shared" si="80"/>
        <v>0</v>
      </c>
      <c r="AW83" s="29">
        <f t="shared" si="81"/>
        <v>0</v>
      </c>
      <c r="AX83" s="29">
        <f t="shared" si="82"/>
        <v>0</v>
      </c>
      <c r="AY83" s="63" t="s">
        <v>322</v>
      </c>
      <c r="AZ83" s="63" t="s">
        <v>134</v>
      </c>
      <c r="BA83" s="47" t="s">
        <v>135</v>
      </c>
      <c r="BC83" s="29">
        <f t="shared" si="83"/>
        <v>0</v>
      </c>
      <c r="BD83" s="29">
        <f t="shared" si="84"/>
        <v>0</v>
      </c>
      <c r="BE83" s="29">
        <v>0</v>
      </c>
      <c r="BF83" s="29">
        <f>83</f>
        <v>83</v>
      </c>
      <c r="BH83" s="29">
        <f t="shared" si="85"/>
        <v>0</v>
      </c>
      <c r="BI83" s="29">
        <f t="shared" si="86"/>
        <v>0</v>
      </c>
      <c r="BJ83" s="29">
        <f t="shared" si="87"/>
        <v>0</v>
      </c>
      <c r="BK83" s="29" t="s">
        <v>136</v>
      </c>
      <c r="BL83" s="29">
        <v>725</v>
      </c>
    </row>
    <row r="84" spans="1:64" ht="12.75">
      <c r="A84" s="30" t="s">
        <v>334</v>
      </c>
      <c r="B84" s="4" t="s">
        <v>280</v>
      </c>
      <c r="C84" s="87" t="s">
        <v>281</v>
      </c>
      <c r="D84" s="87"/>
      <c r="E84" s="87"/>
      <c r="F84" s="4" t="s">
        <v>131</v>
      </c>
      <c r="G84" s="29">
        <v>220</v>
      </c>
      <c r="H84" s="29">
        <v>0</v>
      </c>
      <c r="I84" s="29">
        <f t="shared" si="66"/>
        <v>0</v>
      </c>
      <c r="J84" s="29">
        <f t="shared" si="67"/>
        <v>0</v>
      </c>
      <c r="K84" s="29">
        <f t="shared" si="68"/>
        <v>0</v>
      </c>
      <c r="L84" s="62"/>
      <c r="M84" s="3"/>
      <c r="Z84" s="29">
        <f t="shared" si="69"/>
        <v>0</v>
      </c>
      <c r="AB84" s="29">
        <f t="shared" si="70"/>
        <v>0</v>
      </c>
      <c r="AC84" s="29">
        <f t="shared" si="71"/>
        <v>0</v>
      </c>
      <c r="AD84" s="29">
        <f t="shared" si="72"/>
        <v>0</v>
      </c>
      <c r="AE84" s="29">
        <f t="shared" si="73"/>
        <v>0</v>
      </c>
      <c r="AF84" s="29">
        <f t="shared" si="74"/>
        <v>0</v>
      </c>
      <c r="AG84" s="29">
        <f t="shared" si="75"/>
        <v>0</v>
      </c>
      <c r="AH84" s="29">
        <f t="shared" si="76"/>
        <v>0</v>
      </c>
      <c r="AI84" s="47"/>
      <c r="AJ84" s="29">
        <f t="shared" si="77"/>
        <v>0</v>
      </c>
      <c r="AK84" s="29">
        <f t="shared" si="78"/>
        <v>0</v>
      </c>
      <c r="AL84" s="29">
        <f t="shared" si="79"/>
        <v>0</v>
      </c>
      <c r="AN84" s="29">
        <v>15</v>
      </c>
      <c r="AO84" s="29">
        <f>H84*0.207756232686981</f>
        <v>0</v>
      </c>
      <c r="AP84" s="29">
        <f>H84*(1-0.207756232686981)</f>
        <v>0</v>
      </c>
      <c r="AQ84" s="63" t="s">
        <v>132</v>
      </c>
      <c r="AV84" s="29">
        <f t="shared" si="80"/>
        <v>0</v>
      </c>
      <c r="AW84" s="29">
        <f t="shared" si="81"/>
        <v>0</v>
      </c>
      <c r="AX84" s="29">
        <f t="shared" si="82"/>
        <v>0</v>
      </c>
      <c r="AY84" s="63" t="s">
        <v>322</v>
      </c>
      <c r="AZ84" s="63" t="s">
        <v>134</v>
      </c>
      <c r="BA84" s="47" t="s">
        <v>135</v>
      </c>
      <c r="BC84" s="29">
        <f t="shared" si="83"/>
        <v>0</v>
      </c>
      <c r="BD84" s="29">
        <f t="shared" si="84"/>
        <v>0</v>
      </c>
      <c r="BE84" s="29">
        <v>0</v>
      </c>
      <c r="BF84" s="29">
        <f>84</f>
        <v>84</v>
      </c>
      <c r="BH84" s="29">
        <f t="shared" si="85"/>
        <v>0</v>
      </c>
      <c r="BI84" s="29">
        <f t="shared" si="86"/>
        <v>0</v>
      </c>
      <c r="BJ84" s="29">
        <f t="shared" si="87"/>
        <v>0</v>
      </c>
      <c r="BK84" s="29" t="s">
        <v>136</v>
      </c>
      <c r="BL84" s="29">
        <v>725</v>
      </c>
    </row>
    <row r="85" spans="1:64" ht="12.75">
      <c r="A85" s="30" t="s">
        <v>335</v>
      </c>
      <c r="B85" s="4" t="s">
        <v>336</v>
      </c>
      <c r="C85" s="87" t="s">
        <v>337</v>
      </c>
      <c r="D85" s="87"/>
      <c r="E85" s="87"/>
      <c r="F85" s="4" t="s">
        <v>140</v>
      </c>
      <c r="G85" s="29">
        <v>217</v>
      </c>
      <c r="H85" s="29">
        <v>0</v>
      </c>
      <c r="I85" s="29">
        <f t="shared" si="66"/>
        <v>0</v>
      </c>
      <c r="J85" s="29">
        <f t="shared" si="67"/>
        <v>0</v>
      </c>
      <c r="K85" s="29">
        <f t="shared" si="68"/>
        <v>0</v>
      </c>
      <c r="L85" s="62"/>
      <c r="M85" s="3"/>
      <c r="Z85" s="29">
        <f t="shared" si="69"/>
        <v>0</v>
      </c>
      <c r="AB85" s="29">
        <f t="shared" si="70"/>
        <v>0</v>
      </c>
      <c r="AC85" s="29">
        <f t="shared" si="71"/>
        <v>0</v>
      </c>
      <c r="AD85" s="29">
        <f t="shared" si="72"/>
        <v>0</v>
      </c>
      <c r="AE85" s="29">
        <f t="shared" si="73"/>
        <v>0</v>
      </c>
      <c r="AF85" s="29">
        <f t="shared" si="74"/>
        <v>0</v>
      </c>
      <c r="AG85" s="29">
        <f t="shared" si="75"/>
        <v>0</v>
      </c>
      <c r="AH85" s="29">
        <f t="shared" si="76"/>
        <v>0</v>
      </c>
      <c r="AI85" s="47"/>
      <c r="AJ85" s="29">
        <f t="shared" si="77"/>
        <v>0</v>
      </c>
      <c r="AK85" s="29">
        <f t="shared" si="78"/>
        <v>0</v>
      </c>
      <c r="AL85" s="29">
        <f t="shared" si="79"/>
        <v>0</v>
      </c>
      <c r="AN85" s="29">
        <v>15</v>
      </c>
      <c r="AO85" s="29">
        <f>H85*0</f>
        <v>0</v>
      </c>
      <c r="AP85" s="29">
        <f>H85*(1-0)</f>
        <v>0</v>
      </c>
      <c r="AQ85" s="63" t="s">
        <v>132</v>
      </c>
      <c r="AV85" s="29">
        <f t="shared" si="80"/>
        <v>0</v>
      </c>
      <c r="AW85" s="29">
        <f t="shared" si="81"/>
        <v>0</v>
      </c>
      <c r="AX85" s="29">
        <f t="shared" si="82"/>
        <v>0</v>
      </c>
      <c r="AY85" s="63" t="s">
        <v>322</v>
      </c>
      <c r="AZ85" s="63" t="s">
        <v>134</v>
      </c>
      <c r="BA85" s="47" t="s">
        <v>135</v>
      </c>
      <c r="BC85" s="29">
        <f t="shared" si="83"/>
        <v>0</v>
      </c>
      <c r="BD85" s="29">
        <f t="shared" si="84"/>
        <v>0</v>
      </c>
      <c r="BE85" s="29">
        <v>0</v>
      </c>
      <c r="BF85" s="29">
        <f>85</f>
        <v>85</v>
      </c>
      <c r="BH85" s="29">
        <f t="shared" si="85"/>
        <v>0</v>
      </c>
      <c r="BI85" s="29">
        <f t="shared" si="86"/>
        <v>0</v>
      </c>
      <c r="BJ85" s="29">
        <f t="shared" si="87"/>
        <v>0</v>
      </c>
      <c r="BK85" s="29" t="s">
        <v>136</v>
      </c>
      <c r="BL85" s="29">
        <v>725</v>
      </c>
    </row>
    <row r="86" spans="1:64" ht="12.75">
      <c r="A86" s="30" t="s">
        <v>338</v>
      </c>
      <c r="B86" s="4" t="s">
        <v>253</v>
      </c>
      <c r="C86" s="87" t="s">
        <v>313</v>
      </c>
      <c r="D86" s="87"/>
      <c r="E86" s="87"/>
      <c r="F86" s="4" t="s">
        <v>131</v>
      </c>
      <c r="G86" s="29">
        <v>220</v>
      </c>
      <c r="H86" s="29">
        <v>0</v>
      </c>
      <c r="I86" s="29">
        <f t="shared" si="66"/>
        <v>0</v>
      </c>
      <c r="J86" s="29">
        <f t="shared" si="67"/>
        <v>0</v>
      </c>
      <c r="K86" s="29">
        <f t="shared" si="68"/>
        <v>0</v>
      </c>
      <c r="L86" s="62"/>
      <c r="M86" s="3"/>
      <c r="Z86" s="29">
        <f t="shared" si="69"/>
        <v>0</v>
      </c>
      <c r="AB86" s="29">
        <f t="shared" si="70"/>
        <v>0</v>
      </c>
      <c r="AC86" s="29">
        <f t="shared" si="71"/>
        <v>0</v>
      </c>
      <c r="AD86" s="29">
        <f t="shared" si="72"/>
        <v>0</v>
      </c>
      <c r="AE86" s="29">
        <f t="shared" si="73"/>
        <v>0</v>
      </c>
      <c r="AF86" s="29">
        <f t="shared" si="74"/>
        <v>0</v>
      </c>
      <c r="AG86" s="29">
        <f t="shared" si="75"/>
        <v>0</v>
      </c>
      <c r="AH86" s="29">
        <f t="shared" si="76"/>
        <v>0</v>
      </c>
      <c r="AI86" s="47"/>
      <c r="AJ86" s="29">
        <f t="shared" si="77"/>
        <v>0</v>
      </c>
      <c r="AK86" s="29">
        <f t="shared" si="78"/>
        <v>0</v>
      </c>
      <c r="AL86" s="29">
        <f t="shared" si="79"/>
        <v>0</v>
      </c>
      <c r="AN86" s="29">
        <v>15</v>
      </c>
      <c r="AO86" s="29">
        <f>H86*0.0146955913226032</f>
        <v>0</v>
      </c>
      <c r="AP86" s="29">
        <f>H86*(1-0.0146955913226032)</f>
        <v>0</v>
      </c>
      <c r="AQ86" s="63" t="s">
        <v>132</v>
      </c>
      <c r="AV86" s="29">
        <f t="shared" si="80"/>
        <v>0</v>
      </c>
      <c r="AW86" s="29">
        <f t="shared" si="81"/>
        <v>0</v>
      </c>
      <c r="AX86" s="29">
        <f t="shared" si="82"/>
        <v>0</v>
      </c>
      <c r="AY86" s="63" t="s">
        <v>322</v>
      </c>
      <c r="AZ86" s="63" t="s">
        <v>134</v>
      </c>
      <c r="BA86" s="47" t="s">
        <v>135</v>
      </c>
      <c r="BC86" s="29">
        <f t="shared" si="83"/>
        <v>0</v>
      </c>
      <c r="BD86" s="29">
        <f t="shared" si="84"/>
        <v>0</v>
      </c>
      <c r="BE86" s="29">
        <v>0</v>
      </c>
      <c r="BF86" s="29">
        <f>86</f>
        <v>86</v>
      </c>
      <c r="BH86" s="29">
        <f t="shared" si="85"/>
        <v>0</v>
      </c>
      <c r="BI86" s="29">
        <f t="shared" si="86"/>
        <v>0</v>
      </c>
      <c r="BJ86" s="29">
        <f t="shared" si="87"/>
        <v>0</v>
      </c>
      <c r="BK86" s="29" t="s">
        <v>136</v>
      </c>
      <c r="BL86" s="29">
        <v>725</v>
      </c>
    </row>
    <row r="87" spans="1:64" ht="12.75">
      <c r="A87" s="30" t="s">
        <v>339</v>
      </c>
      <c r="B87" s="4" t="s">
        <v>259</v>
      </c>
      <c r="C87" s="87" t="s">
        <v>315</v>
      </c>
      <c r="D87" s="87"/>
      <c r="E87" s="87"/>
      <c r="F87" s="4" t="s">
        <v>131</v>
      </c>
      <c r="G87" s="29">
        <v>220</v>
      </c>
      <c r="H87" s="29">
        <v>0</v>
      </c>
      <c r="I87" s="29">
        <f t="shared" si="66"/>
        <v>0</v>
      </c>
      <c r="J87" s="29">
        <f t="shared" si="67"/>
        <v>0</v>
      </c>
      <c r="K87" s="29">
        <f t="shared" si="68"/>
        <v>0</v>
      </c>
      <c r="L87" s="62"/>
      <c r="M87" s="3"/>
      <c r="Z87" s="29">
        <f t="shared" si="69"/>
        <v>0</v>
      </c>
      <c r="AB87" s="29">
        <f t="shared" si="70"/>
        <v>0</v>
      </c>
      <c r="AC87" s="29">
        <f t="shared" si="71"/>
        <v>0</v>
      </c>
      <c r="AD87" s="29">
        <f t="shared" si="72"/>
        <v>0</v>
      </c>
      <c r="AE87" s="29">
        <f t="shared" si="73"/>
        <v>0</v>
      </c>
      <c r="AF87" s="29">
        <f t="shared" si="74"/>
        <v>0</v>
      </c>
      <c r="AG87" s="29">
        <f t="shared" si="75"/>
        <v>0</v>
      </c>
      <c r="AH87" s="29">
        <f t="shared" si="76"/>
        <v>0</v>
      </c>
      <c r="AI87" s="47"/>
      <c r="AJ87" s="29">
        <f t="shared" si="77"/>
        <v>0</v>
      </c>
      <c r="AK87" s="29">
        <f t="shared" si="78"/>
        <v>0</v>
      </c>
      <c r="AL87" s="29">
        <f t="shared" si="79"/>
        <v>0</v>
      </c>
      <c r="AN87" s="29">
        <v>15</v>
      </c>
      <c r="AO87" s="29">
        <f>H87*0.0512578616352201</f>
        <v>0</v>
      </c>
      <c r="AP87" s="29">
        <f>H87*(1-0.0512578616352201)</f>
        <v>0</v>
      </c>
      <c r="AQ87" s="63" t="s">
        <v>132</v>
      </c>
      <c r="AV87" s="29">
        <f t="shared" si="80"/>
        <v>0</v>
      </c>
      <c r="AW87" s="29">
        <f t="shared" si="81"/>
        <v>0</v>
      </c>
      <c r="AX87" s="29">
        <f t="shared" si="82"/>
        <v>0</v>
      </c>
      <c r="AY87" s="63" t="s">
        <v>322</v>
      </c>
      <c r="AZ87" s="63" t="s">
        <v>134</v>
      </c>
      <c r="BA87" s="47" t="s">
        <v>135</v>
      </c>
      <c r="BC87" s="29">
        <f t="shared" si="83"/>
        <v>0</v>
      </c>
      <c r="BD87" s="29">
        <f t="shared" si="84"/>
        <v>0</v>
      </c>
      <c r="BE87" s="29">
        <v>0</v>
      </c>
      <c r="BF87" s="29">
        <f>87</f>
        <v>87</v>
      </c>
      <c r="BH87" s="29">
        <f t="shared" si="85"/>
        <v>0</v>
      </c>
      <c r="BI87" s="29">
        <f t="shared" si="86"/>
        <v>0</v>
      </c>
      <c r="BJ87" s="29">
        <f t="shared" si="87"/>
        <v>0</v>
      </c>
      <c r="BK87" s="29" t="s">
        <v>136</v>
      </c>
      <c r="BL87" s="29">
        <v>725</v>
      </c>
    </row>
    <row r="88" spans="1:64" ht="12.75">
      <c r="A88" s="30" t="s">
        <v>340</v>
      </c>
      <c r="B88" s="4" t="s">
        <v>341</v>
      </c>
      <c r="C88" s="87" t="s">
        <v>342</v>
      </c>
      <c r="D88" s="87"/>
      <c r="E88" s="87"/>
      <c r="F88" s="4" t="s">
        <v>140</v>
      </c>
      <c r="G88" s="29">
        <v>60</v>
      </c>
      <c r="H88" s="29">
        <v>0</v>
      </c>
      <c r="I88" s="29">
        <f t="shared" si="66"/>
        <v>0</v>
      </c>
      <c r="J88" s="29">
        <f t="shared" si="67"/>
        <v>0</v>
      </c>
      <c r="K88" s="29">
        <f t="shared" si="68"/>
        <v>0</v>
      </c>
      <c r="L88" s="62"/>
      <c r="M88" s="3"/>
      <c r="Z88" s="29">
        <f t="shared" si="69"/>
        <v>0</v>
      </c>
      <c r="AB88" s="29">
        <f t="shared" si="70"/>
        <v>0</v>
      </c>
      <c r="AC88" s="29">
        <f t="shared" si="71"/>
        <v>0</v>
      </c>
      <c r="AD88" s="29">
        <f t="shared" si="72"/>
        <v>0</v>
      </c>
      <c r="AE88" s="29">
        <f t="shared" si="73"/>
        <v>0</v>
      </c>
      <c r="AF88" s="29">
        <f t="shared" si="74"/>
        <v>0</v>
      </c>
      <c r="AG88" s="29">
        <f t="shared" si="75"/>
        <v>0</v>
      </c>
      <c r="AH88" s="29">
        <f t="shared" si="76"/>
        <v>0</v>
      </c>
      <c r="AI88" s="47"/>
      <c r="AJ88" s="29">
        <f t="shared" si="77"/>
        <v>0</v>
      </c>
      <c r="AK88" s="29">
        <f t="shared" si="78"/>
        <v>0</v>
      </c>
      <c r="AL88" s="29">
        <f t="shared" si="79"/>
        <v>0</v>
      </c>
      <c r="AN88" s="29">
        <v>15</v>
      </c>
      <c r="AO88" s="29">
        <f>H88*0</f>
        <v>0</v>
      </c>
      <c r="AP88" s="29">
        <f>H88*(1-0)</f>
        <v>0</v>
      </c>
      <c r="AQ88" s="63" t="s">
        <v>132</v>
      </c>
      <c r="AV88" s="29">
        <f t="shared" si="80"/>
        <v>0</v>
      </c>
      <c r="AW88" s="29">
        <f t="shared" si="81"/>
        <v>0</v>
      </c>
      <c r="AX88" s="29">
        <f t="shared" si="82"/>
        <v>0</v>
      </c>
      <c r="AY88" s="63" t="s">
        <v>322</v>
      </c>
      <c r="AZ88" s="63" t="s">
        <v>134</v>
      </c>
      <c r="BA88" s="47" t="s">
        <v>135</v>
      </c>
      <c r="BC88" s="29">
        <f t="shared" si="83"/>
        <v>0</v>
      </c>
      <c r="BD88" s="29">
        <f t="shared" si="84"/>
        <v>0</v>
      </c>
      <c r="BE88" s="29">
        <v>0</v>
      </c>
      <c r="BF88" s="29">
        <f>88</f>
        <v>88</v>
      </c>
      <c r="BH88" s="29">
        <f t="shared" si="85"/>
        <v>0</v>
      </c>
      <c r="BI88" s="29">
        <f t="shared" si="86"/>
        <v>0</v>
      </c>
      <c r="BJ88" s="29">
        <f t="shared" si="87"/>
        <v>0</v>
      </c>
      <c r="BK88" s="29" t="s">
        <v>136</v>
      </c>
      <c r="BL88" s="29">
        <v>725</v>
      </c>
    </row>
    <row r="89" spans="1:64" ht="12.75">
      <c r="A89" s="30" t="s">
        <v>343</v>
      </c>
      <c r="B89" s="4" t="s">
        <v>344</v>
      </c>
      <c r="C89" s="87" t="s">
        <v>345</v>
      </c>
      <c r="D89" s="87"/>
      <c r="E89" s="87"/>
      <c r="F89" s="4" t="s">
        <v>140</v>
      </c>
      <c r="G89" s="29">
        <v>60</v>
      </c>
      <c r="H89" s="29">
        <v>0</v>
      </c>
      <c r="I89" s="29">
        <f t="shared" si="66"/>
        <v>0</v>
      </c>
      <c r="J89" s="29">
        <f t="shared" si="67"/>
        <v>0</v>
      </c>
      <c r="K89" s="29">
        <f t="shared" si="68"/>
        <v>0</v>
      </c>
      <c r="L89" s="62"/>
      <c r="M89" s="3"/>
      <c r="Z89" s="29">
        <f t="shared" si="69"/>
        <v>0</v>
      </c>
      <c r="AB89" s="29">
        <f t="shared" si="70"/>
        <v>0</v>
      </c>
      <c r="AC89" s="29">
        <f t="shared" si="71"/>
        <v>0</v>
      </c>
      <c r="AD89" s="29">
        <f t="shared" si="72"/>
        <v>0</v>
      </c>
      <c r="AE89" s="29">
        <f t="shared" si="73"/>
        <v>0</v>
      </c>
      <c r="AF89" s="29">
        <f t="shared" si="74"/>
        <v>0</v>
      </c>
      <c r="AG89" s="29">
        <f t="shared" si="75"/>
        <v>0</v>
      </c>
      <c r="AH89" s="29">
        <f t="shared" si="76"/>
        <v>0</v>
      </c>
      <c r="AI89" s="47"/>
      <c r="AJ89" s="29">
        <f t="shared" si="77"/>
        <v>0</v>
      </c>
      <c r="AK89" s="29">
        <f t="shared" si="78"/>
        <v>0</v>
      </c>
      <c r="AL89" s="29">
        <f t="shared" si="79"/>
        <v>0</v>
      </c>
      <c r="AN89" s="29">
        <v>15</v>
      </c>
      <c r="AO89" s="29">
        <f>H89*0.397504159733777</f>
        <v>0</v>
      </c>
      <c r="AP89" s="29">
        <f>H89*(1-0.397504159733777)</f>
        <v>0</v>
      </c>
      <c r="AQ89" s="63" t="s">
        <v>132</v>
      </c>
      <c r="AV89" s="29">
        <f t="shared" si="80"/>
        <v>0</v>
      </c>
      <c r="AW89" s="29">
        <f t="shared" si="81"/>
        <v>0</v>
      </c>
      <c r="AX89" s="29">
        <f t="shared" si="82"/>
        <v>0</v>
      </c>
      <c r="AY89" s="63" t="s">
        <v>322</v>
      </c>
      <c r="AZ89" s="63" t="s">
        <v>134</v>
      </c>
      <c r="BA89" s="47" t="s">
        <v>135</v>
      </c>
      <c r="BC89" s="29">
        <f t="shared" si="83"/>
        <v>0</v>
      </c>
      <c r="BD89" s="29">
        <f t="shared" si="84"/>
        <v>0</v>
      </c>
      <c r="BE89" s="29">
        <v>0</v>
      </c>
      <c r="BF89" s="29">
        <f>89</f>
        <v>89</v>
      </c>
      <c r="BH89" s="29">
        <f t="shared" si="85"/>
        <v>0</v>
      </c>
      <c r="BI89" s="29">
        <f t="shared" si="86"/>
        <v>0</v>
      </c>
      <c r="BJ89" s="29">
        <f t="shared" si="87"/>
        <v>0</v>
      </c>
      <c r="BK89" s="29" t="s">
        <v>136</v>
      </c>
      <c r="BL89" s="29">
        <v>725</v>
      </c>
    </row>
    <row r="90" spans="1:64" ht="12.75">
      <c r="A90" s="30" t="s">
        <v>346</v>
      </c>
      <c r="B90" s="4" t="s">
        <v>347</v>
      </c>
      <c r="C90" s="87" t="s">
        <v>348</v>
      </c>
      <c r="D90" s="87"/>
      <c r="E90" s="87"/>
      <c r="F90" s="4" t="s">
        <v>140</v>
      </c>
      <c r="G90" s="29">
        <v>31</v>
      </c>
      <c r="H90" s="29">
        <v>0</v>
      </c>
      <c r="I90" s="29">
        <f t="shared" si="66"/>
        <v>0</v>
      </c>
      <c r="J90" s="29">
        <f t="shared" si="67"/>
        <v>0</v>
      </c>
      <c r="K90" s="29">
        <f t="shared" si="68"/>
        <v>0</v>
      </c>
      <c r="L90" s="62"/>
      <c r="M90" s="3"/>
      <c r="Z90" s="29">
        <f t="shared" si="69"/>
        <v>0</v>
      </c>
      <c r="AB90" s="29">
        <f t="shared" si="70"/>
        <v>0</v>
      </c>
      <c r="AC90" s="29">
        <f t="shared" si="71"/>
        <v>0</v>
      </c>
      <c r="AD90" s="29">
        <f t="shared" si="72"/>
        <v>0</v>
      </c>
      <c r="AE90" s="29">
        <f t="shared" si="73"/>
        <v>0</v>
      </c>
      <c r="AF90" s="29">
        <f t="shared" si="74"/>
        <v>0</v>
      </c>
      <c r="AG90" s="29">
        <f t="shared" si="75"/>
        <v>0</v>
      </c>
      <c r="AH90" s="29">
        <f t="shared" si="76"/>
        <v>0</v>
      </c>
      <c r="AI90" s="47"/>
      <c r="AJ90" s="29">
        <f t="shared" si="77"/>
        <v>0</v>
      </c>
      <c r="AK90" s="29">
        <f t="shared" si="78"/>
        <v>0</v>
      </c>
      <c r="AL90" s="29">
        <f t="shared" si="79"/>
        <v>0</v>
      </c>
      <c r="AN90" s="29">
        <v>15</v>
      </c>
      <c r="AO90" s="29">
        <f>H90*0.448716707021792</f>
        <v>0</v>
      </c>
      <c r="AP90" s="29">
        <f>H90*(1-0.448716707021792)</f>
        <v>0</v>
      </c>
      <c r="AQ90" s="63" t="s">
        <v>132</v>
      </c>
      <c r="AV90" s="29">
        <f t="shared" si="80"/>
        <v>0</v>
      </c>
      <c r="AW90" s="29">
        <f t="shared" si="81"/>
        <v>0</v>
      </c>
      <c r="AX90" s="29">
        <f t="shared" si="82"/>
        <v>0</v>
      </c>
      <c r="AY90" s="63" t="s">
        <v>322</v>
      </c>
      <c r="AZ90" s="63" t="s">
        <v>134</v>
      </c>
      <c r="BA90" s="47" t="s">
        <v>135</v>
      </c>
      <c r="BC90" s="29">
        <f t="shared" si="83"/>
        <v>0</v>
      </c>
      <c r="BD90" s="29">
        <f t="shared" si="84"/>
        <v>0</v>
      </c>
      <c r="BE90" s="29">
        <v>0</v>
      </c>
      <c r="BF90" s="29">
        <f>90</f>
        <v>90</v>
      </c>
      <c r="BH90" s="29">
        <f t="shared" si="85"/>
        <v>0</v>
      </c>
      <c r="BI90" s="29">
        <f t="shared" si="86"/>
        <v>0</v>
      </c>
      <c r="BJ90" s="29">
        <f t="shared" si="87"/>
        <v>0</v>
      </c>
      <c r="BK90" s="29" t="s">
        <v>136</v>
      </c>
      <c r="BL90" s="29">
        <v>725</v>
      </c>
    </row>
    <row r="91" spans="1:64" ht="12.75">
      <c r="A91" s="30" t="s">
        <v>349</v>
      </c>
      <c r="B91" s="4" t="s">
        <v>350</v>
      </c>
      <c r="C91" s="87" t="s">
        <v>351</v>
      </c>
      <c r="D91" s="87"/>
      <c r="E91" s="87"/>
      <c r="F91" s="4" t="s">
        <v>352</v>
      </c>
      <c r="G91" s="29">
        <v>93</v>
      </c>
      <c r="H91" s="29">
        <v>0</v>
      </c>
      <c r="I91" s="29">
        <f t="shared" si="66"/>
        <v>0</v>
      </c>
      <c r="J91" s="29">
        <f t="shared" si="67"/>
        <v>0</v>
      </c>
      <c r="K91" s="29">
        <f t="shared" si="68"/>
        <v>0</v>
      </c>
      <c r="L91" s="62"/>
      <c r="M91" s="3"/>
      <c r="Z91" s="29">
        <f t="shared" si="69"/>
        <v>0</v>
      </c>
      <c r="AB91" s="29">
        <f t="shared" si="70"/>
        <v>0</v>
      </c>
      <c r="AC91" s="29">
        <f t="shared" si="71"/>
        <v>0</v>
      </c>
      <c r="AD91" s="29">
        <f t="shared" si="72"/>
        <v>0</v>
      </c>
      <c r="AE91" s="29">
        <f t="shared" si="73"/>
        <v>0</v>
      </c>
      <c r="AF91" s="29">
        <f t="shared" si="74"/>
        <v>0</v>
      </c>
      <c r="AG91" s="29">
        <f t="shared" si="75"/>
        <v>0</v>
      </c>
      <c r="AH91" s="29">
        <f t="shared" si="76"/>
        <v>0</v>
      </c>
      <c r="AI91" s="47"/>
      <c r="AJ91" s="29">
        <f t="shared" si="77"/>
        <v>0</v>
      </c>
      <c r="AK91" s="29">
        <f t="shared" si="78"/>
        <v>0</v>
      </c>
      <c r="AL91" s="29">
        <f t="shared" si="79"/>
        <v>0</v>
      </c>
      <c r="AN91" s="29">
        <v>15</v>
      </c>
      <c r="AO91" s="29">
        <f>H91*0.455397590361446</f>
        <v>0</v>
      </c>
      <c r="AP91" s="29">
        <f>H91*(1-0.455397590361446)</f>
        <v>0</v>
      </c>
      <c r="AQ91" s="63" t="s">
        <v>132</v>
      </c>
      <c r="AV91" s="29">
        <f t="shared" si="80"/>
        <v>0</v>
      </c>
      <c r="AW91" s="29">
        <f t="shared" si="81"/>
        <v>0</v>
      </c>
      <c r="AX91" s="29">
        <f t="shared" si="82"/>
        <v>0</v>
      </c>
      <c r="AY91" s="63" t="s">
        <v>322</v>
      </c>
      <c r="AZ91" s="63" t="s">
        <v>134</v>
      </c>
      <c r="BA91" s="47" t="s">
        <v>135</v>
      </c>
      <c r="BC91" s="29">
        <f t="shared" si="83"/>
        <v>0</v>
      </c>
      <c r="BD91" s="29">
        <f t="shared" si="84"/>
        <v>0</v>
      </c>
      <c r="BE91" s="29">
        <v>0</v>
      </c>
      <c r="BF91" s="29">
        <f>91</f>
        <v>91</v>
      </c>
      <c r="BH91" s="29">
        <f t="shared" si="85"/>
        <v>0</v>
      </c>
      <c r="BI91" s="29">
        <f t="shared" si="86"/>
        <v>0</v>
      </c>
      <c r="BJ91" s="29">
        <f t="shared" si="87"/>
        <v>0</v>
      </c>
      <c r="BK91" s="29" t="s">
        <v>136</v>
      </c>
      <c r="BL91" s="29">
        <v>725</v>
      </c>
    </row>
    <row r="92" spans="1:64" ht="12.75">
      <c r="A92" s="30" t="s">
        <v>353</v>
      </c>
      <c r="B92" s="4" t="s">
        <v>354</v>
      </c>
      <c r="C92" s="87" t="s">
        <v>355</v>
      </c>
      <c r="D92" s="87"/>
      <c r="E92" s="87"/>
      <c r="F92" s="4" t="s">
        <v>332</v>
      </c>
      <c r="G92" s="29">
        <v>30</v>
      </c>
      <c r="H92" s="29">
        <v>0</v>
      </c>
      <c r="I92" s="29">
        <f t="shared" si="66"/>
        <v>0</v>
      </c>
      <c r="J92" s="29">
        <f t="shared" si="67"/>
        <v>0</v>
      </c>
      <c r="K92" s="29">
        <f t="shared" si="68"/>
        <v>0</v>
      </c>
      <c r="L92" s="62"/>
      <c r="M92" s="3"/>
      <c r="Z92" s="29">
        <f t="shared" si="69"/>
        <v>0</v>
      </c>
      <c r="AB92" s="29">
        <f t="shared" si="70"/>
        <v>0</v>
      </c>
      <c r="AC92" s="29">
        <f t="shared" si="71"/>
        <v>0</v>
      </c>
      <c r="AD92" s="29">
        <f t="shared" si="72"/>
        <v>0</v>
      </c>
      <c r="AE92" s="29">
        <f t="shared" si="73"/>
        <v>0</v>
      </c>
      <c r="AF92" s="29">
        <f t="shared" si="74"/>
        <v>0</v>
      </c>
      <c r="AG92" s="29">
        <f t="shared" si="75"/>
        <v>0</v>
      </c>
      <c r="AH92" s="29">
        <f t="shared" si="76"/>
        <v>0</v>
      </c>
      <c r="AI92" s="47"/>
      <c r="AJ92" s="29">
        <f t="shared" si="77"/>
        <v>0</v>
      </c>
      <c r="AK92" s="29">
        <f t="shared" si="78"/>
        <v>0</v>
      </c>
      <c r="AL92" s="29">
        <f t="shared" si="79"/>
        <v>0</v>
      </c>
      <c r="AN92" s="29">
        <v>15</v>
      </c>
      <c r="AO92" s="29">
        <f>H92*0</f>
        <v>0</v>
      </c>
      <c r="AP92" s="29">
        <f>H92*(1-0)</f>
        <v>0</v>
      </c>
      <c r="AQ92" s="63" t="s">
        <v>132</v>
      </c>
      <c r="AV92" s="29">
        <f t="shared" si="80"/>
        <v>0</v>
      </c>
      <c r="AW92" s="29">
        <f t="shared" si="81"/>
        <v>0</v>
      </c>
      <c r="AX92" s="29">
        <f t="shared" si="82"/>
        <v>0</v>
      </c>
      <c r="AY92" s="63" t="s">
        <v>322</v>
      </c>
      <c r="AZ92" s="63" t="s">
        <v>134</v>
      </c>
      <c r="BA92" s="47" t="s">
        <v>135</v>
      </c>
      <c r="BC92" s="29">
        <f t="shared" si="83"/>
        <v>0</v>
      </c>
      <c r="BD92" s="29">
        <f t="shared" si="84"/>
        <v>0</v>
      </c>
      <c r="BE92" s="29">
        <v>0</v>
      </c>
      <c r="BF92" s="29">
        <f>92</f>
        <v>92</v>
      </c>
      <c r="BH92" s="29">
        <f t="shared" si="85"/>
        <v>0</v>
      </c>
      <c r="BI92" s="29">
        <f t="shared" si="86"/>
        <v>0</v>
      </c>
      <c r="BJ92" s="29">
        <f t="shared" si="87"/>
        <v>0</v>
      </c>
      <c r="BK92" s="29" t="s">
        <v>136</v>
      </c>
      <c r="BL92" s="29">
        <v>725</v>
      </c>
    </row>
    <row r="93" spans="1:64" ht="12.75">
      <c r="A93" s="30" t="s">
        <v>356</v>
      </c>
      <c r="B93" s="4" t="s">
        <v>357</v>
      </c>
      <c r="C93" s="87" t="s">
        <v>358</v>
      </c>
      <c r="D93" s="87"/>
      <c r="E93" s="87"/>
      <c r="F93" s="4" t="s">
        <v>140</v>
      </c>
      <c r="G93" s="29">
        <v>30</v>
      </c>
      <c r="H93" s="29">
        <v>0</v>
      </c>
      <c r="I93" s="29">
        <f t="shared" si="66"/>
        <v>0</v>
      </c>
      <c r="J93" s="29">
        <f t="shared" si="67"/>
        <v>0</v>
      </c>
      <c r="K93" s="29">
        <f t="shared" si="68"/>
        <v>0</v>
      </c>
      <c r="L93" s="62"/>
      <c r="M93" s="3"/>
      <c r="Z93" s="29">
        <f t="shared" si="69"/>
        <v>0</v>
      </c>
      <c r="AB93" s="29">
        <f t="shared" si="70"/>
        <v>0</v>
      </c>
      <c r="AC93" s="29">
        <f t="shared" si="71"/>
        <v>0</v>
      </c>
      <c r="AD93" s="29">
        <f t="shared" si="72"/>
        <v>0</v>
      </c>
      <c r="AE93" s="29">
        <f t="shared" si="73"/>
        <v>0</v>
      </c>
      <c r="AF93" s="29">
        <f t="shared" si="74"/>
        <v>0</v>
      </c>
      <c r="AG93" s="29">
        <f t="shared" si="75"/>
        <v>0</v>
      </c>
      <c r="AH93" s="29">
        <f t="shared" si="76"/>
        <v>0</v>
      </c>
      <c r="AI93" s="47"/>
      <c r="AJ93" s="29">
        <f t="shared" si="77"/>
        <v>0</v>
      </c>
      <c r="AK93" s="29">
        <f t="shared" si="78"/>
        <v>0</v>
      </c>
      <c r="AL93" s="29">
        <f t="shared" si="79"/>
        <v>0</v>
      </c>
      <c r="AN93" s="29">
        <v>15</v>
      </c>
      <c r="AO93" s="29">
        <f>H93*0.2946875</f>
        <v>0</v>
      </c>
      <c r="AP93" s="29">
        <f>H93*(1-0.2946875)</f>
        <v>0</v>
      </c>
      <c r="AQ93" s="63" t="s">
        <v>132</v>
      </c>
      <c r="AV93" s="29">
        <f t="shared" si="80"/>
        <v>0</v>
      </c>
      <c r="AW93" s="29">
        <f t="shared" si="81"/>
        <v>0</v>
      </c>
      <c r="AX93" s="29">
        <f t="shared" si="82"/>
        <v>0</v>
      </c>
      <c r="AY93" s="63" t="s">
        <v>322</v>
      </c>
      <c r="AZ93" s="63" t="s">
        <v>134</v>
      </c>
      <c r="BA93" s="47" t="s">
        <v>135</v>
      </c>
      <c r="BC93" s="29">
        <f t="shared" si="83"/>
        <v>0</v>
      </c>
      <c r="BD93" s="29">
        <f t="shared" si="84"/>
        <v>0</v>
      </c>
      <c r="BE93" s="29">
        <v>0</v>
      </c>
      <c r="BF93" s="29">
        <f>93</f>
        <v>93</v>
      </c>
      <c r="BH93" s="29">
        <f t="shared" si="85"/>
        <v>0</v>
      </c>
      <c r="BI93" s="29">
        <f t="shared" si="86"/>
        <v>0</v>
      </c>
      <c r="BJ93" s="29">
        <f t="shared" si="87"/>
        <v>0</v>
      </c>
      <c r="BK93" s="29" t="s">
        <v>136</v>
      </c>
      <c r="BL93" s="29">
        <v>725</v>
      </c>
    </row>
    <row r="94" spans="1:64" ht="12.75">
      <c r="A94" s="30" t="s">
        <v>359</v>
      </c>
      <c r="B94" s="4" t="s">
        <v>360</v>
      </c>
      <c r="C94" s="87" t="s">
        <v>361</v>
      </c>
      <c r="D94" s="87"/>
      <c r="E94" s="87"/>
      <c r="F94" s="4" t="s">
        <v>332</v>
      </c>
      <c r="G94" s="29">
        <v>31</v>
      </c>
      <c r="H94" s="29">
        <v>0</v>
      </c>
      <c r="I94" s="29">
        <f t="shared" si="66"/>
        <v>0</v>
      </c>
      <c r="J94" s="29">
        <f t="shared" si="67"/>
        <v>0</v>
      </c>
      <c r="K94" s="29">
        <f t="shared" si="68"/>
        <v>0</v>
      </c>
      <c r="L94" s="62"/>
      <c r="M94" s="3"/>
      <c r="Z94" s="29">
        <f t="shared" si="69"/>
        <v>0</v>
      </c>
      <c r="AB94" s="29">
        <f t="shared" si="70"/>
        <v>0</v>
      </c>
      <c r="AC94" s="29">
        <f t="shared" si="71"/>
        <v>0</v>
      </c>
      <c r="AD94" s="29">
        <f t="shared" si="72"/>
        <v>0</v>
      </c>
      <c r="AE94" s="29">
        <f t="shared" si="73"/>
        <v>0</v>
      </c>
      <c r="AF94" s="29">
        <f t="shared" si="74"/>
        <v>0</v>
      </c>
      <c r="AG94" s="29">
        <f t="shared" si="75"/>
        <v>0</v>
      </c>
      <c r="AH94" s="29">
        <f t="shared" si="76"/>
        <v>0</v>
      </c>
      <c r="AI94" s="47"/>
      <c r="AJ94" s="29">
        <f t="shared" si="77"/>
        <v>0</v>
      </c>
      <c r="AK94" s="29">
        <f t="shared" si="78"/>
        <v>0</v>
      </c>
      <c r="AL94" s="29">
        <f t="shared" si="79"/>
        <v>0</v>
      </c>
      <c r="AN94" s="29">
        <v>15</v>
      </c>
      <c r="AO94" s="29">
        <f>H94*0</f>
        <v>0</v>
      </c>
      <c r="AP94" s="29">
        <f>H94*(1-0)</f>
        <v>0</v>
      </c>
      <c r="AQ94" s="63" t="s">
        <v>132</v>
      </c>
      <c r="AV94" s="29">
        <f t="shared" si="80"/>
        <v>0</v>
      </c>
      <c r="AW94" s="29">
        <f t="shared" si="81"/>
        <v>0</v>
      </c>
      <c r="AX94" s="29">
        <f t="shared" si="82"/>
        <v>0</v>
      </c>
      <c r="AY94" s="63" t="s">
        <v>322</v>
      </c>
      <c r="AZ94" s="63" t="s">
        <v>134</v>
      </c>
      <c r="BA94" s="47" t="s">
        <v>135</v>
      </c>
      <c r="BC94" s="29">
        <f t="shared" si="83"/>
        <v>0</v>
      </c>
      <c r="BD94" s="29">
        <f t="shared" si="84"/>
        <v>0</v>
      </c>
      <c r="BE94" s="29">
        <v>0</v>
      </c>
      <c r="BF94" s="29">
        <f>94</f>
        <v>94</v>
      </c>
      <c r="BH94" s="29">
        <f t="shared" si="85"/>
        <v>0</v>
      </c>
      <c r="BI94" s="29">
        <f t="shared" si="86"/>
        <v>0</v>
      </c>
      <c r="BJ94" s="29">
        <f t="shared" si="87"/>
        <v>0</v>
      </c>
      <c r="BK94" s="29" t="s">
        <v>136</v>
      </c>
      <c r="BL94" s="29">
        <v>725</v>
      </c>
    </row>
    <row r="95" spans="1:64" ht="12.75">
      <c r="A95" s="30" t="s">
        <v>362</v>
      </c>
      <c r="B95" s="4" t="s">
        <v>363</v>
      </c>
      <c r="C95" s="87" t="s">
        <v>364</v>
      </c>
      <c r="D95" s="87"/>
      <c r="E95" s="87"/>
      <c r="F95" s="4" t="s">
        <v>140</v>
      </c>
      <c r="G95" s="29">
        <v>31</v>
      </c>
      <c r="H95" s="29">
        <v>0</v>
      </c>
      <c r="I95" s="29">
        <f t="shared" si="66"/>
        <v>0</v>
      </c>
      <c r="J95" s="29">
        <f t="shared" si="67"/>
        <v>0</v>
      </c>
      <c r="K95" s="29">
        <f t="shared" si="68"/>
        <v>0</v>
      </c>
      <c r="L95" s="62"/>
      <c r="M95" s="3"/>
      <c r="Z95" s="29">
        <f t="shared" si="69"/>
        <v>0</v>
      </c>
      <c r="AB95" s="29">
        <f t="shared" si="70"/>
        <v>0</v>
      </c>
      <c r="AC95" s="29">
        <f t="shared" si="71"/>
        <v>0</v>
      </c>
      <c r="AD95" s="29">
        <f t="shared" si="72"/>
        <v>0</v>
      </c>
      <c r="AE95" s="29">
        <f t="shared" si="73"/>
        <v>0</v>
      </c>
      <c r="AF95" s="29">
        <f t="shared" si="74"/>
        <v>0</v>
      </c>
      <c r="AG95" s="29">
        <f t="shared" si="75"/>
        <v>0</v>
      </c>
      <c r="AH95" s="29">
        <f t="shared" si="76"/>
        <v>0</v>
      </c>
      <c r="AI95" s="47"/>
      <c r="AJ95" s="29">
        <f t="shared" si="77"/>
        <v>0</v>
      </c>
      <c r="AK95" s="29">
        <f t="shared" si="78"/>
        <v>0</v>
      </c>
      <c r="AL95" s="29">
        <f t="shared" si="79"/>
        <v>0</v>
      </c>
      <c r="AN95" s="29">
        <v>15</v>
      </c>
      <c r="AO95" s="29">
        <f>H95*0.0311645101663586</f>
        <v>0</v>
      </c>
      <c r="AP95" s="29">
        <f>H95*(1-0.0311645101663586)</f>
        <v>0</v>
      </c>
      <c r="AQ95" s="63" t="s">
        <v>132</v>
      </c>
      <c r="AV95" s="29">
        <f t="shared" si="80"/>
        <v>0</v>
      </c>
      <c r="AW95" s="29">
        <f t="shared" si="81"/>
        <v>0</v>
      </c>
      <c r="AX95" s="29">
        <f t="shared" si="82"/>
        <v>0</v>
      </c>
      <c r="AY95" s="63" t="s">
        <v>322</v>
      </c>
      <c r="AZ95" s="63" t="s">
        <v>134</v>
      </c>
      <c r="BA95" s="47" t="s">
        <v>135</v>
      </c>
      <c r="BC95" s="29">
        <f t="shared" si="83"/>
        <v>0</v>
      </c>
      <c r="BD95" s="29">
        <f t="shared" si="84"/>
        <v>0</v>
      </c>
      <c r="BE95" s="29">
        <v>0</v>
      </c>
      <c r="BF95" s="29">
        <f>95</f>
        <v>95</v>
      </c>
      <c r="BH95" s="29">
        <f t="shared" si="85"/>
        <v>0</v>
      </c>
      <c r="BI95" s="29">
        <f t="shared" si="86"/>
        <v>0</v>
      </c>
      <c r="BJ95" s="29">
        <f t="shared" si="87"/>
        <v>0</v>
      </c>
      <c r="BK95" s="29" t="s">
        <v>136</v>
      </c>
      <c r="BL95" s="29">
        <v>725</v>
      </c>
    </row>
    <row r="96" spans="1:64" ht="12.75">
      <c r="A96" s="30" t="s">
        <v>365</v>
      </c>
      <c r="B96" s="4" t="s">
        <v>366</v>
      </c>
      <c r="C96" s="87" t="s">
        <v>367</v>
      </c>
      <c r="D96" s="87"/>
      <c r="E96" s="87"/>
      <c r="F96" s="4" t="s">
        <v>140</v>
      </c>
      <c r="G96" s="29">
        <v>31</v>
      </c>
      <c r="H96" s="29">
        <v>0</v>
      </c>
      <c r="I96" s="29">
        <f t="shared" si="66"/>
        <v>0</v>
      </c>
      <c r="J96" s="29">
        <f t="shared" si="67"/>
        <v>0</v>
      </c>
      <c r="K96" s="29">
        <f t="shared" si="68"/>
        <v>0</v>
      </c>
      <c r="L96" s="62"/>
      <c r="M96" s="3"/>
      <c r="Z96" s="29">
        <f t="shared" si="69"/>
        <v>0</v>
      </c>
      <c r="AB96" s="29">
        <f t="shared" si="70"/>
        <v>0</v>
      </c>
      <c r="AC96" s="29">
        <f t="shared" si="71"/>
        <v>0</v>
      </c>
      <c r="AD96" s="29">
        <f t="shared" si="72"/>
        <v>0</v>
      </c>
      <c r="AE96" s="29">
        <f t="shared" si="73"/>
        <v>0</v>
      </c>
      <c r="AF96" s="29">
        <f t="shared" si="74"/>
        <v>0</v>
      </c>
      <c r="AG96" s="29">
        <f t="shared" si="75"/>
        <v>0</v>
      </c>
      <c r="AH96" s="29">
        <f t="shared" si="76"/>
        <v>0</v>
      </c>
      <c r="AI96" s="47"/>
      <c r="AJ96" s="29">
        <f t="shared" si="77"/>
        <v>0</v>
      </c>
      <c r="AK96" s="29">
        <f t="shared" si="78"/>
        <v>0</v>
      </c>
      <c r="AL96" s="29">
        <f t="shared" si="79"/>
        <v>0</v>
      </c>
      <c r="AN96" s="29">
        <v>15</v>
      </c>
      <c r="AO96" s="29">
        <f>H96*0.1</f>
        <v>0</v>
      </c>
      <c r="AP96" s="29">
        <f>H96*(1-0.1)</f>
        <v>0</v>
      </c>
      <c r="AQ96" s="63" t="s">
        <v>132</v>
      </c>
      <c r="AV96" s="29">
        <f t="shared" si="80"/>
        <v>0</v>
      </c>
      <c r="AW96" s="29">
        <f t="shared" si="81"/>
        <v>0</v>
      </c>
      <c r="AX96" s="29">
        <f t="shared" si="82"/>
        <v>0</v>
      </c>
      <c r="AY96" s="63" t="s">
        <v>322</v>
      </c>
      <c r="AZ96" s="63" t="s">
        <v>134</v>
      </c>
      <c r="BA96" s="47" t="s">
        <v>135</v>
      </c>
      <c r="BC96" s="29">
        <f t="shared" si="83"/>
        <v>0</v>
      </c>
      <c r="BD96" s="29">
        <f t="shared" si="84"/>
        <v>0</v>
      </c>
      <c r="BE96" s="29">
        <v>0</v>
      </c>
      <c r="BF96" s="29">
        <f>96</f>
        <v>96</v>
      </c>
      <c r="BH96" s="29">
        <f t="shared" si="85"/>
        <v>0</v>
      </c>
      <c r="BI96" s="29">
        <f t="shared" si="86"/>
        <v>0</v>
      </c>
      <c r="BJ96" s="29">
        <f t="shared" si="87"/>
        <v>0</v>
      </c>
      <c r="BK96" s="29" t="s">
        <v>136</v>
      </c>
      <c r="BL96" s="29">
        <v>725</v>
      </c>
    </row>
    <row r="97" spans="1:64" ht="12.75">
      <c r="A97" s="30" t="s">
        <v>368</v>
      </c>
      <c r="B97" s="4" t="s">
        <v>369</v>
      </c>
      <c r="C97" s="87" t="s">
        <v>370</v>
      </c>
      <c r="D97" s="87"/>
      <c r="E97" s="87"/>
      <c r="F97" s="4" t="s">
        <v>140</v>
      </c>
      <c r="G97" s="29">
        <v>93</v>
      </c>
      <c r="H97" s="29">
        <v>0</v>
      </c>
      <c r="I97" s="29">
        <f t="shared" si="66"/>
        <v>0</v>
      </c>
      <c r="J97" s="29">
        <f t="shared" si="67"/>
        <v>0</v>
      </c>
      <c r="K97" s="29">
        <f t="shared" si="68"/>
        <v>0</v>
      </c>
      <c r="L97" s="62"/>
      <c r="M97" s="3"/>
      <c r="Z97" s="29">
        <f t="shared" si="69"/>
        <v>0</v>
      </c>
      <c r="AB97" s="29">
        <f t="shared" si="70"/>
        <v>0</v>
      </c>
      <c r="AC97" s="29">
        <f t="shared" si="71"/>
        <v>0</v>
      </c>
      <c r="AD97" s="29">
        <f t="shared" si="72"/>
        <v>0</v>
      </c>
      <c r="AE97" s="29">
        <f t="shared" si="73"/>
        <v>0</v>
      </c>
      <c r="AF97" s="29">
        <f t="shared" si="74"/>
        <v>0</v>
      </c>
      <c r="AG97" s="29">
        <f t="shared" si="75"/>
        <v>0</v>
      </c>
      <c r="AH97" s="29">
        <f t="shared" si="76"/>
        <v>0</v>
      </c>
      <c r="AI97" s="47"/>
      <c r="AJ97" s="29">
        <f t="shared" si="77"/>
        <v>0</v>
      </c>
      <c r="AK97" s="29">
        <f t="shared" si="78"/>
        <v>0</v>
      </c>
      <c r="AL97" s="29">
        <f t="shared" si="79"/>
        <v>0</v>
      </c>
      <c r="AN97" s="29">
        <v>15</v>
      </c>
      <c r="AO97" s="29">
        <f>H97*0.105777777777778</f>
        <v>0</v>
      </c>
      <c r="AP97" s="29">
        <f>H97*(1-0.105777777777778)</f>
        <v>0</v>
      </c>
      <c r="AQ97" s="63" t="s">
        <v>132</v>
      </c>
      <c r="AV97" s="29">
        <f t="shared" si="80"/>
        <v>0</v>
      </c>
      <c r="AW97" s="29">
        <f t="shared" si="81"/>
        <v>0</v>
      </c>
      <c r="AX97" s="29">
        <f t="shared" si="82"/>
        <v>0</v>
      </c>
      <c r="AY97" s="63" t="s">
        <v>322</v>
      </c>
      <c r="AZ97" s="63" t="s">
        <v>134</v>
      </c>
      <c r="BA97" s="47" t="s">
        <v>135</v>
      </c>
      <c r="BC97" s="29">
        <f t="shared" si="83"/>
        <v>0</v>
      </c>
      <c r="BD97" s="29">
        <f t="shared" si="84"/>
        <v>0</v>
      </c>
      <c r="BE97" s="29">
        <v>0</v>
      </c>
      <c r="BF97" s="29">
        <f>97</f>
        <v>97</v>
      </c>
      <c r="BH97" s="29">
        <f t="shared" si="85"/>
        <v>0</v>
      </c>
      <c r="BI97" s="29">
        <f t="shared" si="86"/>
        <v>0</v>
      </c>
      <c r="BJ97" s="29">
        <f t="shared" si="87"/>
        <v>0</v>
      </c>
      <c r="BK97" s="29" t="s">
        <v>136</v>
      </c>
      <c r="BL97" s="29">
        <v>725</v>
      </c>
    </row>
    <row r="98" spans="1:64" ht="12.75">
      <c r="A98" s="30" t="s">
        <v>371</v>
      </c>
      <c r="B98" s="4" t="s">
        <v>372</v>
      </c>
      <c r="C98" s="87" t="s">
        <v>373</v>
      </c>
      <c r="D98" s="87"/>
      <c r="E98" s="87"/>
      <c r="F98" s="4" t="s">
        <v>332</v>
      </c>
      <c r="G98" s="29">
        <v>30</v>
      </c>
      <c r="H98" s="29">
        <v>0</v>
      </c>
      <c r="I98" s="29">
        <f t="shared" si="66"/>
        <v>0</v>
      </c>
      <c r="J98" s="29">
        <f t="shared" si="67"/>
        <v>0</v>
      </c>
      <c r="K98" s="29">
        <f t="shared" si="68"/>
        <v>0</v>
      </c>
      <c r="L98" s="62"/>
      <c r="M98" s="3"/>
      <c r="Z98" s="29">
        <f t="shared" si="69"/>
        <v>0</v>
      </c>
      <c r="AB98" s="29">
        <f t="shared" si="70"/>
        <v>0</v>
      </c>
      <c r="AC98" s="29">
        <f t="shared" si="71"/>
        <v>0</v>
      </c>
      <c r="AD98" s="29">
        <f t="shared" si="72"/>
        <v>0</v>
      </c>
      <c r="AE98" s="29">
        <f t="shared" si="73"/>
        <v>0</v>
      </c>
      <c r="AF98" s="29">
        <f t="shared" si="74"/>
        <v>0</v>
      </c>
      <c r="AG98" s="29">
        <f t="shared" si="75"/>
        <v>0</v>
      </c>
      <c r="AH98" s="29">
        <f t="shared" si="76"/>
        <v>0</v>
      </c>
      <c r="AI98" s="47"/>
      <c r="AJ98" s="29">
        <f t="shared" si="77"/>
        <v>0</v>
      </c>
      <c r="AK98" s="29">
        <f t="shared" si="78"/>
        <v>0</v>
      </c>
      <c r="AL98" s="29">
        <f t="shared" si="79"/>
        <v>0</v>
      </c>
      <c r="AN98" s="29">
        <v>15</v>
      </c>
      <c r="AO98" s="29">
        <f>H98*0.85104917275179</f>
        <v>0</v>
      </c>
      <c r="AP98" s="29">
        <f>H98*(1-0.85104917275179)</f>
        <v>0</v>
      </c>
      <c r="AQ98" s="63" t="s">
        <v>132</v>
      </c>
      <c r="AV98" s="29">
        <f t="shared" si="80"/>
        <v>0</v>
      </c>
      <c r="AW98" s="29">
        <f t="shared" si="81"/>
        <v>0</v>
      </c>
      <c r="AX98" s="29">
        <f t="shared" si="82"/>
        <v>0</v>
      </c>
      <c r="AY98" s="63" t="s">
        <v>322</v>
      </c>
      <c r="AZ98" s="63" t="s">
        <v>134</v>
      </c>
      <c r="BA98" s="47" t="s">
        <v>135</v>
      </c>
      <c r="BC98" s="29">
        <f t="shared" si="83"/>
        <v>0</v>
      </c>
      <c r="BD98" s="29">
        <f t="shared" si="84"/>
        <v>0</v>
      </c>
      <c r="BE98" s="29">
        <v>0</v>
      </c>
      <c r="BF98" s="29">
        <f>98</f>
        <v>98</v>
      </c>
      <c r="BH98" s="29">
        <f t="shared" si="85"/>
        <v>0</v>
      </c>
      <c r="BI98" s="29">
        <f t="shared" si="86"/>
        <v>0</v>
      </c>
      <c r="BJ98" s="29">
        <f t="shared" si="87"/>
        <v>0</v>
      </c>
      <c r="BK98" s="29" t="s">
        <v>136</v>
      </c>
      <c r="BL98" s="29">
        <v>725</v>
      </c>
    </row>
    <row r="99" spans="1:64" ht="12.75">
      <c r="A99" s="30" t="s">
        <v>374</v>
      </c>
      <c r="B99" s="4" t="s">
        <v>375</v>
      </c>
      <c r="C99" s="87" t="s">
        <v>376</v>
      </c>
      <c r="D99" s="87"/>
      <c r="E99" s="87"/>
      <c r="F99" s="4" t="s">
        <v>332</v>
      </c>
      <c r="G99" s="29">
        <v>30</v>
      </c>
      <c r="H99" s="29">
        <v>0</v>
      </c>
      <c r="I99" s="29">
        <f t="shared" si="66"/>
        <v>0</v>
      </c>
      <c r="J99" s="29">
        <f t="shared" si="67"/>
        <v>0</v>
      </c>
      <c r="K99" s="29">
        <f t="shared" si="68"/>
        <v>0</v>
      </c>
      <c r="L99" s="62"/>
      <c r="M99" s="3"/>
      <c r="Z99" s="29">
        <f t="shared" si="69"/>
        <v>0</v>
      </c>
      <c r="AB99" s="29">
        <f t="shared" si="70"/>
        <v>0</v>
      </c>
      <c r="AC99" s="29">
        <f t="shared" si="71"/>
        <v>0</v>
      </c>
      <c r="AD99" s="29">
        <f t="shared" si="72"/>
        <v>0</v>
      </c>
      <c r="AE99" s="29">
        <f t="shared" si="73"/>
        <v>0</v>
      </c>
      <c r="AF99" s="29">
        <f t="shared" si="74"/>
        <v>0</v>
      </c>
      <c r="AG99" s="29">
        <f t="shared" si="75"/>
        <v>0</v>
      </c>
      <c r="AH99" s="29">
        <f t="shared" si="76"/>
        <v>0</v>
      </c>
      <c r="AI99" s="47"/>
      <c r="AJ99" s="29">
        <f t="shared" si="77"/>
        <v>0</v>
      </c>
      <c r="AK99" s="29">
        <f t="shared" si="78"/>
        <v>0</v>
      </c>
      <c r="AL99" s="29">
        <f t="shared" si="79"/>
        <v>0</v>
      </c>
      <c r="AN99" s="29">
        <v>15</v>
      </c>
      <c r="AO99" s="29">
        <f>H99*0.812584661796457</f>
        <v>0</v>
      </c>
      <c r="AP99" s="29">
        <f>H99*(1-0.812584661796457)</f>
        <v>0</v>
      </c>
      <c r="AQ99" s="63" t="s">
        <v>132</v>
      </c>
      <c r="AV99" s="29">
        <f t="shared" si="80"/>
        <v>0</v>
      </c>
      <c r="AW99" s="29">
        <f t="shared" si="81"/>
        <v>0</v>
      </c>
      <c r="AX99" s="29">
        <f t="shared" si="82"/>
        <v>0</v>
      </c>
      <c r="AY99" s="63" t="s">
        <v>322</v>
      </c>
      <c r="AZ99" s="63" t="s">
        <v>134</v>
      </c>
      <c r="BA99" s="47" t="s">
        <v>135</v>
      </c>
      <c r="BC99" s="29">
        <f t="shared" si="83"/>
        <v>0</v>
      </c>
      <c r="BD99" s="29">
        <f t="shared" si="84"/>
        <v>0</v>
      </c>
      <c r="BE99" s="29">
        <v>0</v>
      </c>
      <c r="BF99" s="29">
        <f>99</f>
        <v>99</v>
      </c>
      <c r="BH99" s="29">
        <f t="shared" si="85"/>
        <v>0</v>
      </c>
      <c r="BI99" s="29">
        <f t="shared" si="86"/>
        <v>0</v>
      </c>
      <c r="BJ99" s="29">
        <f t="shared" si="87"/>
        <v>0</v>
      </c>
      <c r="BK99" s="29" t="s">
        <v>136</v>
      </c>
      <c r="BL99" s="29">
        <v>725</v>
      </c>
    </row>
    <row r="100" spans="1:64" ht="12.75">
      <c r="A100" s="30" t="s">
        <v>377</v>
      </c>
      <c r="B100" s="4" t="s">
        <v>317</v>
      </c>
      <c r="C100" s="87" t="s">
        <v>318</v>
      </c>
      <c r="D100" s="87"/>
      <c r="E100" s="87"/>
      <c r="F100" s="4" t="s">
        <v>187</v>
      </c>
      <c r="G100" s="29">
        <v>1.31</v>
      </c>
      <c r="H100" s="29">
        <v>0</v>
      </c>
      <c r="I100" s="29">
        <f t="shared" si="66"/>
        <v>0</v>
      </c>
      <c r="J100" s="29">
        <f t="shared" si="67"/>
        <v>0</v>
      </c>
      <c r="K100" s="29">
        <f t="shared" si="68"/>
        <v>0</v>
      </c>
      <c r="L100" s="62"/>
      <c r="M100" s="3"/>
      <c r="Z100" s="29">
        <f t="shared" si="69"/>
        <v>0</v>
      </c>
      <c r="AB100" s="29">
        <f t="shared" si="70"/>
        <v>0</v>
      </c>
      <c r="AC100" s="29">
        <f t="shared" si="71"/>
        <v>0</v>
      </c>
      <c r="AD100" s="29">
        <f t="shared" si="72"/>
        <v>0</v>
      </c>
      <c r="AE100" s="29">
        <f t="shared" si="73"/>
        <v>0</v>
      </c>
      <c r="AF100" s="29">
        <f t="shared" si="74"/>
        <v>0</v>
      </c>
      <c r="AG100" s="29">
        <f t="shared" si="75"/>
        <v>0</v>
      </c>
      <c r="AH100" s="29">
        <f t="shared" si="76"/>
        <v>0</v>
      </c>
      <c r="AI100" s="47"/>
      <c r="AJ100" s="29">
        <f t="shared" si="77"/>
        <v>0</v>
      </c>
      <c r="AK100" s="29">
        <f t="shared" si="78"/>
        <v>0</v>
      </c>
      <c r="AL100" s="29">
        <f t="shared" si="79"/>
        <v>0</v>
      </c>
      <c r="AN100" s="29">
        <v>15</v>
      </c>
      <c r="AO100" s="29">
        <f>H100*0</f>
        <v>0</v>
      </c>
      <c r="AP100" s="29">
        <f>H100*(1-0)</f>
        <v>0</v>
      </c>
      <c r="AQ100" s="63" t="s">
        <v>132</v>
      </c>
      <c r="AV100" s="29">
        <f t="shared" si="80"/>
        <v>0</v>
      </c>
      <c r="AW100" s="29">
        <f t="shared" si="81"/>
        <v>0</v>
      </c>
      <c r="AX100" s="29">
        <f t="shared" si="82"/>
        <v>0</v>
      </c>
      <c r="AY100" s="63" t="s">
        <v>322</v>
      </c>
      <c r="AZ100" s="63" t="s">
        <v>134</v>
      </c>
      <c r="BA100" s="47" t="s">
        <v>135</v>
      </c>
      <c r="BC100" s="29">
        <f t="shared" si="83"/>
        <v>0</v>
      </c>
      <c r="BD100" s="29">
        <f t="shared" si="84"/>
        <v>0</v>
      </c>
      <c r="BE100" s="29">
        <v>0</v>
      </c>
      <c r="BF100" s="29">
        <f>100</f>
        <v>100</v>
      </c>
      <c r="BH100" s="29">
        <f t="shared" si="85"/>
        <v>0</v>
      </c>
      <c r="BI100" s="29">
        <f t="shared" si="86"/>
        <v>0</v>
      </c>
      <c r="BJ100" s="29">
        <f t="shared" si="87"/>
        <v>0</v>
      </c>
      <c r="BK100" s="29" t="s">
        <v>136</v>
      </c>
      <c r="BL100" s="29">
        <v>725</v>
      </c>
    </row>
    <row r="101" spans="1:47" ht="12.75">
      <c r="A101" s="64"/>
      <c r="B101" s="65" t="s">
        <v>77</v>
      </c>
      <c r="C101" s="111" t="s">
        <v>78</v>
      </c>
      <c r="D101" s="111"/>
      <c r="E101" s="111"/>
      <c r="F101" s="66" t="s">
        <v>99</v>
      </c>
      <c r="G101" s="66" t="s">
        <v>99</v>
      </c>
      <c r="H101" s="66" t="s">
        <v>99</v>
      </c>
      <c r="I101" s="61">
        <f>SUM(I102:I112)</f>
        <v>0</v>
      </c>
      <c r="J101" s="61">
        <f>SUM(J102:J112)</f>
        <v>0</v>
      </c>
      <c r="K101" s="61">
        <f>SUM(K102:K112)</f>
        <v>0</v>
      </c>
      <c r="L101" s="67"/>
      <c r="M101" s="3"/>
      <c r="AI101" s="47"/>
      <c r="AS101" s="61">
        <f>SUM(AJ102:AJ112)</f>
        <v>0</v>
      </c>
      <c r="AT101" s="61">
        <f>SUM(AK102:AK112)</f>
        <v>0</v>
      </c>
      <c r="AU101" s="61">
        <f>SUM(AL102:AL112)</f>
        <v>0</v>
      </c>
    </row>
    <row r="102" spans="1:64" ht="12.75">
      <c r="A102" s="30" t="s">
        <v>378</v>
      </c>
      <c r="B102" s="4" t="s">
        <v>379</v>
      </c>
      <c r="C102" s="87" t="s">
        <v>380</v>
      </c>
      <c r="D102" s="87"/>
      <c r="E102" s="87"/>
      <c r="F102" s="4" t="s">
        <v>381</v>
      </c>
      <c r="G102" s="29">
        <v>83</v>
      </c>
      <c r="H102" s="29">
        <v>0</v>
      </c>
      <c r="I102" s="29">
        <f aca="true" t="shared" si="88" ref="I102:I112">G102*AO102</f>
        <v>0</v>
      </c>
      <c r="J102" s="29">
        <f aca="true" t="shared" si="89" ref="J102:J112">G102*AP102</f>
        <v>0</v>
      </c>
      <c r="K102" s="29">
        <f aca="true" t="shared" si="90" ref="K102:K112">G102*H102</f>
        <v>0</v>
      </c>
      <c r="L102" s="62"/>
      <c r="M102" s="3"/>
      <c r="Z102" s="29">
        <f aca="true" t="shared" si="91" ref="Z102:Z112">IF(AQ102="5",BJ102,0)</f>
        <v>0</v>
      </c>
      <c r="AB102" s="29">
        <f aca="true" t="shared" si="92" ref="AB102:AB112">IF(AQ102="1",BH102,0)</f>
        <v>0</v>
      </c>
      <c r="AC102" s="29">
        <f aca="true" t="shared" si="93" ref="AC102:AC112">IF(AQ102="1",BI102,0)</f>
        <v>0</v>
      </c>
      <c r="AD102" s="29">
        <f aca="true" t="shared" si="94" ref="AD102:AD112">IF(AQ102="7",BH102,0)</f>
        <v>0</v>
      </c>
      <c r="AE102" s="29">
        <f aca="true" t="shared" si="95" ref="AE102:AE112">IF(AQ102="7",BI102,0)</f>
        <v>0</v>
      </c>
      <c r="AF102" s="29">
        <f aca="true" t="shared" si="96" ref="AF102:AF112">IF(AQ102="2",BH102,0)</f>
        <v>0</v>
      </c>
      <c r="AG102" s="29">
        <f aca="true" t="shared" si="97" ref="AG102:AG112">IF(AQ102="2",BI102,0)</f>
        <v>0</v>
      </c>
      <c r="AH102" s="29">
        <f aca="true" t="shared" si="98" ref="AH102:AH112">IF(AQ102="0",BJ102,0)</f>
        <v>0</v>
      </c>
      <c r="AI102" s="47"/>
      <c r="AJ102" s="29">
        <f aca="true" t="shared" si="99" ref="AJ102:AJ112">IF(AN102=0,K102,0)</f>
        <v>0</v>
      </c>
      <c r="AK102" s="29">
        <f aca="true" t="shared" si="100" ref="AK102:AK112">IF(AN102=15,K102,0)</f>
        <v>0</v>
      </c>
      <c r="AL102" s="29">
        <f aca="true" t="shared" si="101" ref="AL102:AL112">IF(AN102=21,K102,0)</f>
        <v>0</v>
      </c>
      <c r="AN102" s="29">
        <v>15</v>
      </c>
      <c r="AO102" s="29">
        <f>H102*0.0574152944687085</f>
        <v>0</v>
      </c>
      <c r="AP102" s="29">
        <f>H102*(1-0.0574152944687085)</f>
        <v>0</v>
      </c>
      <c r="AQ102" s="63" t="s">
        <v>128</v>
      </c>
      <c r="AV102" s="29">
        <f aca="true" t="shared" si="102" ref="AV102:AV112">AW102+AX102</f>
        <v>0</v>
      </c>
      <c r="AW102" s="29">
        <f aca="true" t="shared" si="103" ref="AW102:AW112">G102*AO102</f>
        <v>0</v>
      </c>
      <c r="AX102" s="29">
        <f aca="true" t="shared" si="104" ref="AX102:AX112">G102*AP102</f>
        <v>0</v>
      </c>
      <c r="AY102" s="63" t="s">
        <v>382</v>
      </c>
      <c r="AZ102" s="63" t="s">
        <v>383</v>
      </c>
      <c r="BA102" s="47" t="s">
        <v>135</v>
      </c>
      <c r="BC102" s="29">
        <f aca="true" t="shared" si="105" ref="BC102:BC112">AW102+AX102</f>
        <v>0</v>
      </c>
      <c r="BD102" s="29">
        <f aca="true" t="shared" si="106" ref="BD102:BD112">H102/(100-BE102)*100</f>
        <v>0</v>
      </c>
      <c r="BE102" s="29">
        <v>0</v>
      </c>
      <c r="BF102" s="29">
        <f>102</f>
        <v>102</v>
      </c>
      <c r="BH102" s="29">
        <f aca="true" t="shared" si="107" ref="BH102:BH112">G102*AO102</f>
        <v>0</v>
      </c>
      <c r="BI102" s="29">
        <f aca="true" t="shared" si="108" ref="BI102:BI112">G102*AP102</f>
        <v>0</v>
      </c>
      <c r="BJ102" s="29">
        <f aca="true" t="shared" si="109" ref="BJ102:BJ112">G102*H102</f>
        <v>0</v>
      </c>
      <c r="BK102" s="29" t="s">
        <v>136</v>
      </c>
      <c r="BL102" s="29">
        <v>96</v>
      </c>
    </row>
    <row r="103" spans="1:64" ht="12.75">
      <c r="A103" s="30" t="s">
        <v>384</v>
      </c>
      <c r="B103" s="4" t="s">
        <v>385</v>
      </c>
      <c r="C103" s="87" t="s">
        <v>386</v>
      </c>
      <c r="D103" s="87"/>
      <c r="E103" s="87"/>
      <c r="F103" s="4" t="s">
        <v>381</v>
      </c>
      <c r="G103" s="29">
        <v>10</v>
      </c>
      <c r="H103" s="29">
        <v>0</v>
      </c>
      <c r="I103" s="29">
        <f t="shared" si="88"/>
        <v>0</v>
      </c>
      <c r="J103" s="29">
        <f t="shared" si="89"/>
        <v>0</v>
      </c>
      <c r="K103" s="29">
        <f t="shared" si="90"/>
        <v>0</v>
      </c>
      <c r="L103" s="62"/>
      <c r="M103" s="3"/>
      <c r="Z103" s="29">
        <f t="shared" si="91"/>
        <v>0</v>
      </c>
      <c r="AB103" s="29">
        <f t="shared" si="92"/>
        <v>0</v>
      </c>
      <c r="AC103" s="29">
        <f t="shared" si="93"/>
        <v>0</v>
      </c>
      <c r="AD103" s="29">
        <f t="shared" si="94"/>
        <v>0</v>
      </c>
      <c r="AE103" s="29">
        <f t="shared" si="95"/>
        <v>0</v>
      </c>
      <c r="AF103" s="29">
        <f t="shared" si="96"/>
        <v>0</v>
      </c>
      <c r="AG103" s="29">
        <f t="shared" si="97"/>
        <v>0</v>
      </c>
      <c r="AH103" s="29">
        <f t="shared" si="98"/>
        <v>0</v>
      </c>
      <c r="AI103" s="47"/>
      <c r="AJ103" s="29">
        <f t="shared" si="99"/>
        <v>0</v>
      </c>
      <c r="AK103" s="29">
        <f t="shared" si="100"/>
        <v>0</v>
      </c>
      <c r="AL103" s="29">
        <f t="shared" si="101"/>
        <v>0</v>
      </c>
      <c r="AN103" s="29">
        <v>15</v>
      </c>
      <c r="AO103" s="29">
        <f>H103*0.0684594389010694</f>
        <v>0</v>
      </c>
      <c r="AP103" s="29">
        <f>H103*(1-0.0684594389010694)</f>
        <v>0</v>
      </c>
      <c r="AQ103" s="63" t="s">
        <v>128</v>
      </c>
      <c r="AV103" s="29">
        <f t="shared" si="102"/>
        <v>0</v>
      </c>
      <c r="AW103" s="29">
        <f t="shared" si="103"/>
        <v>0</v>
      </c>
      <c r="AX103" s="29">
        <f t="shared" si="104"/>
        <v>0</v>
      </c>
      <c r="AY103" s="63" t="s">
        <v>382</v>
      </c>
      <c r="AZ103" s="63" t="s">
        <v>383</v>
      </c>
      <c r="BA103" s="47" t="s">
        <v>135</v>
      </c>
      <c r="BC103" s="29">
        <f t="shared" si="105"/>
        <v>0</v>
      </c>
      <c r="BD103" s="29">
        <f t="shared" si="106"/>
        <v>0</v>
      </c>
      <c r="BE103" s="29">
        <v>0</v>
      </c>
      <c r="BF103" s="29">
        <f>103</f>
        <v>103</v>
      </c>
      <c r="BH103" s="29">
        <f t="shared" si="107"/>
        <v>0</v>
      </c>
      <c r="BI103" s="29">
        <f t="shared" si="108"/>
        <v>0</v>
      </c>
      <c r="BJ103" s="29">
        <f t="shared" si="109"/>
        <v>0</v>
      </c>
      <c r="BK103" s="29" t="s">
        <v>136</v>
      </c>
      <c r="BL103" s="29">
        <v>96</v>
      </c>
    </row>
    <row r="104" spans="1:64" ht="12.75">
      <c r="A104" s="30" t="s">
        <v>387</v>
      </c>
      <c r="B104" s="4" t="s">
        <v>388</v>
      </c>
      <c r="C104" s="87" t="s">
        <v>389</v>
      </c>
      <c r="D104" s="87"/>
      <c r="E104" s="87"/>
      <c r="F104" s="4" t="s">
        <v>381</v>
      </c>
      <c r="G104" s="29">
        <v>83</v>
      </c>
      <c r="H104" s="29">
        <v>0</v>
      </c>
      <c r="I104" s="29">
        <f t="shared" si="88"/>
        <v>0</v>
      </c>
      <c r="J104" s="29">
        <f t="shared" si="89"/>
        <v>0</v>
      </c>
      <c r="K104" s="29">
        <f t="shared" si="90"/>
        <v>0</v>
      </c>
      <c r="L104" s="62"/>
      <c r="M104" s="3"/>
      <c r="Z104" s="29">
        <f t="shared" si="91"/>
        <v>0</v>
      </c>
      <c r="AB104" s="29">
        <f t="shared" si="92"/>
        <v>0</v>
      </c>
      <c r="AC104" s="29">
        <f t="shared" si="93"/>
        <v>0</v>
      </c>
      <c r="AD104" s="29">
        <f t="shared" si="94"/>
        <v>0</v>
      </c>
      <c r="AE104" s="29">
        <f t="shared" si="95"/>
        <v>0</v>
      </c>
      <c r="AF104" s="29">
        <f t="shared" si="96"/>
        <v>0</v>
      </c>
      <c r="AG104" s="29">
        <f t="shared" si="97"/>
        <v>0</v>
      </c>
      <c r="AH104" s="29">
        <f t="shared" si="98"/>
        <v>0</v>
      </c>
      <c r="AI104" s="47"/>
      <c r="AJ104" s="29">
        <f t="shared" si="99"/>
        <v>0</v>
      </c>
      <c r="AK104" s="29">
        <f t="shared" si="100"/>
        <v>0</v>
      </c>
      <c r="AL104" s="29">
        <f t="shared" si="101"/>
        <v>0</v>
      </c>
      <c r="AN104" s="29">
        <v>15</v>
      </c>
      <c r="AO104" s="29">
        <f>H104*0.646451187335092</f>
        <v>0</v>
      </c>
      <c r="AP104" s="29">
        <f>H104*(1-0.646451187335092)</f>
        <v>0</v>
      </c>
      <c r="AQ104" s="63" t="s">
        <v>128</v>
      </c>
      <c r="AV104" s="29">
        <f t="shared" si="102"/>
        <v>0</v>
      </c>
      <c r="AW104" s="29">
        <f t="shared" si="103"/>
        <v>0</v>
      </c>
      <c r="AX104" s="29">
        <f t="shared" si="104"/>
        <v>0</v>
      </c>
      <c r="AY104" s="63" t="s">
        <v>382</v>
      </c>
      <c r="AZ104" s="63" t="s">
        <v>383</v>
      </c>
      <c r="BA104" s="47" t="s">
        <v>135</v>
      </c>
      <c r="BC104" s="29">
        <f t="shared" si="105"/>
        <v>0</v>
      </c>
      <c r="BD104" s="29">
        <f t="shared" si="106"/>
        <v>0</v>
      </c>
      <c r="BE104" s="29">
        <v>0</v>
      </c>
      <c r="BF104" s="29">
        <f>104</f>
        <v>104</v>
      </c>
      <c r="BH104" s="29">
        <f t="shared" si="107"/>
        <v>0</v>
      </c>
      <c r="BI104" s="29">
        <f t="shared" si="108"/>
        <v>0</v>
      </c>
      <c r="BJ104" s="29">
        <f t="shared" si="109"/>
        <v>0</v>
      </c>
      <c r="BK104" s="29" t="s">
        <v>136</v>
      </c>
      <c r="BL104" s="29">
        <v>96</v>
      </c>
    </row>
    <row r="105" spans="1:64" ht="12.75">
      <c r="A105" s="30" t="s">
        <v>390</v>
      </c>
      <c r="B105" s="4" t="s">
        <v>391</v>
      </c>
      <c r="C105" s="87" t="s">
        <v>392</v>
      </c>
      <c r="D105" s="87"/>
      <c r="E105" s="87"/>
      <c r="F105" s="4" t="s">
        <v>381</v>
      </c>
      <c r="G105" s="29">
        <v>10</v>
      </c>
      <c r="H105" s="29">
        <v>0</v>
      </c>
      <c r="I105" s="29">
        <f t="shared" si="88"/>
        <v>0</v>
      </c>
      <c r="J105" s="29">
        <f t="shared" si="89"/>
        <v>0</v>
      </c>
      <c r="K105" s="29">
        <f t="shared" si="90"/>
        <v>0</v>
      </c>
      <c r="L105" s="62"/>
      <c r="M105" s="3"/>
      <c r="Z105" s="29">
        <f t="shared" si="91"/>
        <v>0</v>
      </c>
      <c r="AB105" s="29">
        <f t="shared" si="92"/>
        <v>0</v>
      </c>
      <c r="AC105" s="29">
        <f t="shared" si="93"/>
        <v>0</v>
      </c>
      <c r="AD105" s="29">
        <f t="shared" si="94"/>
        <v>0</v>
      </c>
      <c r="AE105" s="29">
        <f t="shared" si="95"/>
        <v>0</v>
      </c>
      <c r="AF105" s="29">
        <f t="shared" si="96"/>
        <v>0</v>
      </c>
      <c r="AG105" s="29">
        <f t="shared" si="97"/>
        <v>0</v>
      </c>
      <c r="AH105" s="29">
        <f t="shared" si="98"/>
        <v>0</v>
      </c>
      <c r="AI105" s="47"/>
      <c r="AJ105" s="29">
        <f t="shared" si="99"/>
        <v>0</v>
      </c>
      <c r="AK105" s="29">
        <f t="shared" si="100"/>
        <v>0</v>
      </c>
      <c r="AL105" s="29">
        <f t="shared" si="101"/>
        <v>0</v>
      </c>
      <c r="AN105" s="29">
        <v>15</v>
      </c>
      <c r="AO105" s="29">
        <f>H105*0.411176463764081</f>
        <v>0</v>
      </c>
      <c r="AP105" s="29">
        <f>H105*(1-0.411176463764081)</f>
        <v>0</v>
      </c>
      <c r="AQ105" s="63" t="s">
        <v>128</v>
      </c>
      <c r="AV105" s="29">
        <f t="shared" si="102"/>
        <v>0</v>
      </c>
      <c r="AW105" s="29">
        <f t="shared" si="103"/>
        <v>0</v>
      </c>
      <c r="AX105" s="29">
        <f t="shared" si="104"/>
        <v>0</v>
      </c>
      <c r="AY105" s="63" t="s">
        <v>382</v>
      </c>
      <c r="AZ105" s="63" t="s">
        <v>383</v>
      </c>
      <c r="BA105" s="47" t="s">
        <v>135</v>
      </c>
      <c r="BC105" s="29">
        <f t="shared" si="105"/>
        <v>0</v>
      </c>
      <c r="BD105" s="29">
        <f t="shared" si="106"/>
        <v>0</v>
      </c>
      <c r="BE105" s="29">
        <v>0</v>
      </c>
      <c r="BF105" s="29">
        <f>105</f>
        <v>105</v>
      </c>
      <c r="BH105" s="29">
        <f t="shared" si="107"/>
        <v>0</v>
      </c>
      <c r="BI105" s="29">
        <f t="shared" si="108"/>
        <v>0</v>
      </c>
      <c r="BJ105" s="29">
        <f t="shared" si="109"/>
        <v>0</v>
      </c>
      <c r="BK105" s="29" t="s">
        <v>136</v>
      </c>
      <c r="BL105" s="29">
        <v>96</v>
      </c>
    </row>
    <row r="106" spans="1:64" ht="12.75">
      <c r="A106" s="30" t="s">
        <v>393</v>
      </c>
      <c r="B106" s="4" t="s">
        <v>394</v>
      </c>
      <c r="C106" s="87" t="s">
        <v>395</v>
      </c>
      <c r="D106" s="87"/>
      <c r="E106" s="87"/>
      <c r="F106" s="4" t="s">
        <v>381</v>
      </c>
      <c r="G106" s="29">
        <v>83</v>
      </c>
      <c r="H106" s="29">
        <v>0</v>
      </c>
      <c r="I106" s="29">
        <f t="shared" si="88"/>
        <v>0</v>
      </c>
      <c r="J106" s="29">
        <f t="shared" si="89"/>
        <v>0</v>
      </c>
      <c r="K106" s="29">
        <f t="shared" si="90"/>
        <v>0</v>
      </c>
      <c r="L106" s="62"/>
      <c r="M106" s="3"/>
      <c r="Z106" s="29">
        <f t="shared" si="91"/>
        <v>0</v>
      </c>
      <c r="AB106" s="29">
        <f t="shared" si="92"/>
        <v>0</v>
      </c>
      <c r="AC106" s="29">
        <f t="shared" si="93"/>
        <v>0</v>
      </c>
      <c r="AD106" s="29">
        <f t="shared" si="94"/>
        <v>0</v>
      </c>
      <c r="AE106" s="29">
        <f t="shared" si="95"/>
        <v>0</v>
      </c>
      <c r="AF106" s="29">
        <f t="shared" si="96"/>
        <v>0</v>
      </c>
      <c r="AG106" s="29">
        <f t="shared" si="97"/>
        <v>0</v>
      </c>
      <c r="AH106" s="29">
        <f t="shared" si="98"/>
        <v>0</v>
      </c>
      <c r="AI106" s="47"/>
      <c r="AJ106" s="29">
        <f t="shared" si="99"/>
        <v>0</v>
      </c>
      <c r="AK106" s="29">
        <f t="shared" si="100"/>
        <v>0</v>
      </c>
      <c r="AL106" s="29">
        <f t="shared" si="101"/>
        <v>0</v>
      </c>
      <c r="AN106" s="29">
        <v>15</v>
      </c>
      <c r="AO106" s="29">
        <f>H106*0.427851682287393</f>
        <v>0</v>
      </c>
      <c r="AP106" s="29">
        <f>H106*(1-0.427851682287393)</f>
        <v>0</v>
      </c>
      <c r="AQ106" s="63" t="s">
        <v>128</v>
      </c>
      <c r="AV106" s="29">
        <f t="shared" si="102"/>
        <v>0</v>
      </c>
      <c r="AW106" s="29">
        <f t="shared" si="103"/>
        <v>0</v>
      </c>
      <c r="AX106" s="29">
        <f t="shared" si="104"/>
        <v>0</v>
      </c>
      <c r="AY106" s="63" t="s">
        <v>382</v>
      </c>
      <c r="AZ106" s="63" t="s">
        <v>383</v>
      </c>
      <c r="BA106" s="47" t="s">
        <v>135</v>
      </c>
      <c r="BC106" s="29">
        <f t="shared" si="105"/>
        <v>0</v>
      </c>
      <c r="BD106" s="29">
        <f t="shared" si="106"/>
        <v>0</v>
      </c>
      <c r="BE106" s="29">
        <v>0</v>
      </c>
      <c r="BF106" s="29">
        <f>106</f>
        <v>106</v>
      </c>
      <c r="BH106" s="29">
        <f t="shared" si="107"/>
        <v>0</v>
      </c>
      <c r="BI106" s="29">
        <f t="shared" si="108"/>
        <v>0</v>
      </c>
      <c r="BJ106" s="29">
        <f t="shared" si="109"/>
        <v>0</v>
      </c>
      <c r="BK106" s="29" t="s">
        <v>136</v>
      </c>
      <c r="BL106" s="29">
        <v>96</v>
      </c>
    </row>
    <row r="107" spans="1:64" ht="12.75">
      <c r="A107" s="30" t="s">
        <v>396</v>
      </c>
      <c r="B107" s="4" t="s">
        <v>397</v>
      </c>
      <c r="C107" s="87" t="s">
        <v>398</v>
      </c>
      <c r="D107" s="87"/>
      <c r="E107" s="87"/>
      <c r="F107" s="4" t="s">
        <v>381</v>
      </c>
      <c r="G107" s="29">
        <v>83</v>
      </c>
      <c r="H107" s="29">
        <v>0</v>
      </c>
      <c r="I107" s="29">
        <f t="shared" si="88"/>
        <v>0</v>
      </c>
      <c r="J107" s="29">
        <f t="shared" si="89"/>
        <v>0</v>
      </c>
      <c r="K107" s="29">
        <f t="shared" si="90"/>
        <v>0</v>
      </c>
      <c r="L107" s="62"/>
      <c r="M107" s="3"/>
      <c r="Z107" s="29">
        <f t="shared" si="91"/>
        <v>0</v>
      </c>
      <c r="AB107" s="29">
        <f t="shared" si="92"/>
        <v>0</v>
      </c>
      <c r="AC107" s="29">
        <f t="shared" si="93"/>
        <v>0</v>
      </c>
      <c r="AD107" s="29">
        <f t="shared" si="94"/>
        <v>0</v>
      </c>
      <c r="AE107" s="29">
        <f t="shared" si="95"/>
        <v>0</v>
      </c>
      <c r="AF107" s="29">
        <f t="shared" si="96"/>
        <v>0</v>
      </c>
      <c r="AG107" s="29">
        <f t="shared" si="97"/>
        <v>0</v>
      </c>
      <c r="AH107" s="29">
        <f t="shared" si="98"/>
        <v>0</v>
      </c>
      <c r="AI107" s="47"/>
      <c r="AJ107" s="29">
        <f t="shared" si="99"/>
        <v>0</v>
      </c>
      <c r="AK107" s="29">
        <f t="shared" si="100"/>
        <v>0</v>
      </c>
      <c r="AL107" s="29">
        <f t="shared" si="101"/>
        <v>0</v>
      </c>
      <c r="AN107" s="29">
        <v>15</v>
      </c>
      <c r="AO107" s="29">
        <f>H107*0.0673991935483871</f>
        <v>0</v>
      </c>
      <c r="AP107" s="29">
        <f>H107*(1-0.0673991935483871)</f>
        <v>0</v>
      </c>
      <c r="AQ107" s="63" t="s">
        <v>128</v>
      </c>
      <c r="AV107" s="29">
        <f t="shared" si="102"/>
        <v>0</v>
      </c>
      <c r="AW107" s="29">
        <f t="shared" si="103"/>
        <v>0</v>
      </c>
      <c r="AX107" s="29">
        <f t="shared" si="104"/>
        <v>0</v>
      </c>
      <c r="AY107" s="63" t="s">
        <v>382</v>
      </c>
      <c r="AZ107" s="63" t="s">
        <v>383</v>
      </c>
      <c r="BA107" s="47" t="s">
        <v>135</v>
      </c>
      <c r="BC107" s="29">
        <f t="shared" si="105"/>
        <v>0</v>
      </c>
      <c r="BD107" s="29">
        <f t="shared" si="106"/>
        <v>0</v>
      </c>
      <c r="BE107" s="29">
        <v>0</v>
      </c>
      <c r="BF107" s="29">
        <f>107</f>
        <v>107</v>
      </c>
      <c r="BH107" s="29">
        <f t="shared" si="107"/>
        <v>0</v>
      </c>
      <c r="BI107" s="29">
        <f t="shared" si="108"/>
        <v>0</v>
      </c>
      <c r="BJ107" s="29">
        <f t="shared" si="109"/>
        <v>0</v>
      </c>
      <c r="BK107" s="29" t="s">
        <v>136</v>
      </c>
      <c r="BL107" s="29">
        <v>96</v>
      </c>
    </row>
    <row r="108" spans="1:64" ht="12.75">
      <c r="A108" s="30" t="s">
        <v>399</v>
      </c>
      <c r="B108" s="4" t="s">
        <v>400</v>
      </c>
      <c r="C108" s="87" t="s">
        <v>401</v>
      </c>
      <c r="D108" s="87"/>
      <c r="E108" s="87"/>
      <c r="F108" s="4" t="s">
        <v>381</v>
      </c>
      <c r="G108" s="29">
        <v>93</v>
      </c>
      <c r="H108" s="29">
        <v>0</v>
      </c>
      <c r="I108" s="29">
        <f t="shared" si="88"/>
        <v>0</v>
      </c>
      <c r="J108" s="29">
        <f t="shared" si="89"/>
        <v>0</v>
      </c>
      <c r="K108" s="29">
        <f t="shared" si="90"/>
        <v>0</v>
      </c>
      <c r="L108" s="62"/>
      <c r="M108" s="3"/>
      <c r="Z108" s="29">
        <f t="shared" si="91"/>
        <v>0</v>
      </c>
      <c r="AB108" s="29">
        <f t="shared" si="92"/>
        <v>0</v>
      </c>
      <c r="AC108" s="29">
        <f t="shared" si="93"/>
        <v>0</v>
      </c>
      <c r="AD108" s="29">
        <f t="shared" si="94"/>
        <v>0</v>
      </c>
      <c r="AE108" s="29">
        <f t="shared" si="95"/>
        <v>0</v>
      </c>
      <c r="AF108" s="29">
        <f t="shared" si="96"/>
        <v>0</v>
      </c>
      <c r="AG108" s="29">
        <f t="shared" si="97"/>
        <v>0</v>
      </c>
      <c r="AH108" s="29">
        <f t="shared" si="98"/>
        <v>0</v>
      </c>
      <c r="AI108" s="47"/>
      <c r="AJ108" s="29">
        <f t="shared" si="99"/>
        <v>0</v>
      </c>
      <c r="AK108" s="29">
        <f t="shared" si="100"/>
        <v>0</v>
      </c>
      <c r="AL108" s="29">
        <f t="shared" si="101"/>
        <v>0</v>
      </c>
      <c r="AN108" s="29">
        <v>15</v>
      </c>
      <c r="AO108" s="29">
        <f>H108*0.151006711409396</f>
        <v>0</v>
      </c>
      <c r="AP108" s="29">
        <f>H108*(1-0.151006711409396)</f>
        <v>0</v>
      </c>
      <c r="AQ108" s="63" t="s">
        <v>128</v>
      </c>
      <c r="AV108" s="29">
        <f t="shared" si="102"/>
        <v>0</v>
      </c>
      <c r="AW108" s="29">
        <f t="shared" si="103"/>
        <v>0</v>
      </c>
      <c r="AX108" s="29">
        <f t="shared" si="104"/>
        <v>0</v>
      </c>
      <c r="AY108" s="63" t="s">
        <v>382</v>
      </c>
      <c r="AZ108" s="63" t="s">
        <v>383</v>
      </c>
      <c r="BA108" s="47" t="s">
        <v>135</v>
      </c>
      <c r="BC108" s="29">
        <f t="shared" si="105"/>
        <v>0</v>
      </c>
      <c r="BD108" s="29">
        <f t="shared" si="106"/>
        <v>0</v>
      </c>
      <c r="BE108" s="29">
        <v>0</v>
      </c>
      <c r="BF108" s="29">
        <f>108</f>
        <v>108</v>
      </c>
      <c r="BH108" s="29">
        <f t="shared" si="107"/>
        <v>0</v>
      </c>
      <c r="BI108" s="29">
        <f t="shared" si="108"/>
        <v>0</v>
      </c>
      <c r="BJ108" s="29">
        <f t="shared" si="109"/>
        <v>0</v>
      </c>
      <c r="BK108" s="29" t="s">
        <v>136</v>
      </c>
      <c r="BL108" s="29">
        <v>96</v>
      </c>
    </row>
    <row r="109" spans="1:64" ht="12.75">
      <c r="A109" s="30" t="s">
        <v>402</v>
      </c>
      <c r="B109" s="4" t="s">
        <v>403</v>
      </c>
      <c r="C109" s="87" t="s">
        <v>404</v>
      </c>
      <c r="D109" s="87"/>
      <c r="E109" s="87"/>
      <c r="F109" s="4" t="s">
        <v>140</v>
      </c>
      <c r="G109" s="29">
        <v>32</v>
      </c>
      <c r="H109" s="29">
        <v>0</v>
      </c>
      <c r="I109" s="29">
        <f t="shared" si="88"/>
        <v>0</v>
      </c>
      <c r="J109" s="29">
        <f t="shared" si="89"/>
        <v>0</v>
      </c>
      <c r="K109" s="29">
        <f t="shared" si="90"/>
        <v>0</v>
      </c>
      <c r="L109" s="62"/>
      <c r="M109" s="3"/>
      <c r="Z109" s="29">
        <f t="shared" si="91"/>
        <v>0</v>
      </c>
      <c r="AB109" s="29">
        <f t="shared" si="92"/>
        <v>0</v>
      </c>
      <c r="AC109" s="29">
        <f t="shared" si="93"/>
        <v>0</v>
      </c>
      <c r="AD109" s="29">
        <f t="shared" si="94"/>
        <v>0</v>
      </c>
      <c r="AE109" s="29">
        <f t="shared" si="95"/>
        <v>0</v>
      </c>
      <c r="AF109" s="29">
        <f t="shared" si="96"/>
        <v>0</v>
      </c>
      <c r="AG109" s="29">
        <f t="shared" si="97"/>
        <v>0</v>
      </c>
      <c r="AH109" s="29">
        <f t="shared" si="98"/>
        <v>0</v>
      </c>
      <c r="AI109" s="47"/>
      <c r="AJ109" s="29">
        <f t="shared" si="99"/>
        <v>0</v>
      </c>
      <c r="AK109" s="29">
        <f t="shared" si="100"/>
        <v>0</v>
      </c>
      <c r="AL109" s="29">
        <f t="shared" si="101"/>
        <v>0</v>
      </c>
      <c r="AN109" s="29">
        <v>15</v>
      </c>
      <c r="AO109" s="29">
        <f>H109*0.875912408759124</f>
        <v>0</v>
      </c>
      <c r="AP109" s="29">
        <f>H109*(1-0.875912408759124)</f>
        <v>0</v>
      </c>
      <c r="AQ109" s="63" t="s">
        <v>128</v>
      </c>
      <c r="AV109" s="29">
        <f t="shared" si="102"/>
        <v>0</v>
      </c>
      <c r="AW109" s="29">
        <f t="shared" si="103"/>
        <v>0</v>
      </c>
      <c r="AX109" s="29">
        <f t="shared" si="104"/>
        <v>0</v>
      </c>
      <c r="AY109" s="63" t="s">
        <v>382</v>
      </c>
      <c r="AZ109" s="63" t="s">
        <v>383</v>
      </c>
      <c r="BA109" s="47" t="s">
        <v>135</v>
      </c>
      <c r="BC109" s="29">
        <f t="shared" si="105"/>
        <v>0</v>
      </c>
      <c r="BD109" s="29">
        <f t="shared" si="106"/>
        <v>0</v>
      </c>
      <c r="BE109" s="29">
        <v>0</v>
      </c>
      <c r="BF109" s="29">
        <f>109</f>
        <v>109</v>
      </c>
      <c r="BH109" s="29">
        <f t="shared" si="107"/>
        <v>0</v>
      </c>
      <c r="BI109" s="29">
        <f t="shared" si="108"/>
        <v>0</v>
      </c>
      <c r="BJ109" s="29">
        <f t="shared" si="109"/>
        <v>0</v>
      </c>
      <c r="BK109" s="29" t="s">
        <v>136</v>
      </c>
      <c r="BL109" s="29">
        <v>96</v>
      </c>
    </row>
    <row r="110" spans="1:64" ht="12.75">
      <c r="A110" s="30" t="s">
        <v>405</v>
      </c>
      <c r="B110" s="4" t="s">
        <v>406</v>
      </c>
      <c r="C110" s="87" t="s">
        <v>407</v>
      </c>
      <c r="D110" s="87"/>
      <c r="E110" s="87"/>
      <c r="F110" s="4" t="s">
        <v>381</v>
      </c>
      <c r="G110" s="29">
        <v>480</v>
      </c>
      <c r="H110" s="29">
        <v>0</v>
      </c>
      <c r="I110" s="29">
        <f t="shared" si="88"/>
        <v>0</v>
      </c>
      <c r="J110" s="29">
        <f t="shared" si="89"/>
        <v>0</v>
      </c>
      <c r="K110" s="29">
        <f t="shared" si="90"/>
        <v>0</v>
      </c>
      <c r="L110" s="62"/>
      <c r="M110" s="3"/>
      <c r="Z110" s="29">
        <f t="shared" si="91"/>
        <v>0</v>
      </c>
      <c r="AB110" s="29">
        <f t="shared" si="92"/>
        <v>0</v>
      </c>
      <c r="AC110" s="29">
        <f t="shared" si="93"/>
        <v>0</v>
      </c>
      <c r="AD110" s="29">
        <f t="shared" si="94"/>
        <v>0</v>
      </c>
      <c r="AE110" s="29">
        <f t="shared" si="95"/>
        <v>0</v>
      </c>
      <c r="AF110" s="29">
        <f t="shared" si="96"/>
        <v>0</v>
      </c>
      <c r="AG110" s="29">
        <f t="shared" si="97"/>
        <v>0</v>
      </c>
      <c r="AH110" s="29">
        <f t="shared" si="98"/>
        <v>0</v>
      </c>
      <c r="AI110" s="47"/>
      <c r="AJ110" s="29">
        <f t="shared" si="99"/>
        <v>0</v>
      </c>
      <c r="AK110" s="29">
        <f t="shared" si="100"/>
        <v>0</v>
      </c>
      <c r="AL110" s="29">
        <f t="shared" si="101"/>
        <v>0</v>
      </c>
      <c r="AN110" s="29">
        <v>15</v>
      </c>
      <c r="AO110" s="29">
        <f>H110*0</f>
        <v>0</v>
      </c>
      <c r="AP110" s="29">
        <f>H110*(1-0)</f>
        <v>0</v>
      </c>
      <c r="AQ110" s="63" t="s">
        <v>128</v>
      </c>
      <c r="AV110" s="29">
        <f t="shared" si="102"/>
        <v>0</v>
      </c>
      <c r="AW110" s="29">
        <f t="shared" si="103"/>
        <v>0</v>
      </c>
      <c r="AX110" s="29">
        <f t="shared" si="104"/>
        <v>0</v>
      </c>
      <c r="AY110" s="63" t="s">
        <v>382</v>
      </c>
      <c r="AZ110" s="63" t="s">
        <v>383</v>
      </c>
      <c r="BA110" s="47" t="s">
        <v>135</v>
      </c>
      <c r="BC110" s="29">
        <f t="shared" si="105"/>
        <v>0</v>
      </c>
      <c r="BD110" s="29">
        <f t="shared" si="106"/>
        <v>0</v>
      </c>
      <c r="BE110" s="29">
        <v>0</v>
      </c>
      <c r="BF110" s="29">
        <f>110</f>
        <v>110</v>
      </c>
      <c r="BH110" s="29">
        <f t="shared" si="107"/>
        <v>0</v>
      </c>
      <c r="BI110" s="29">
        <f t="shared" si="108"/>
        <v>0</v>
      </c>
      <c r="BJ110" s="29">
        <f t="shared" si="109"/>
        <v>0</v>
      </c>
      <c r="BK110" s="29" t="s">
        <v>136</v>
      </c>
      <c r="BL110" s="29">
        <v>96</v>
      </c>
    </row>
    <row r="111" spans="1:64" ht="12.75">
      <c r="A111" s="30" t="s">
        <v>408</v>
      </c>
      <c r="B111" s="4" t="s">
        <v>409</v>
      </c>
      <c r="C111" s="87" t="s">
        <v>410</v>
      </c>
      <c r="D111" s="87"/>
      <c r="E111" s="87"/>
      <c r="F111" s="4" t="s">
        <v>131</v>
      </c>
      <c r="G111" s="29">
        <v>150</v>
      </c>
      <c r="H111" s="29">
        <v>0</v>
      </c>
      <c r="I111" s="29">
        <f t="shared" si="88"/>
        <v>0</v>
      </c>
      <c r="J111" s="29">
        <f t="shared" si="89"/>
        <v>0</v>
      </c>
      <c r="K111" s="29">
        <f t="shared" si="90"/>
        <v>0</v>
      </c>
      <c r="L111" s="62"/>
      <c r="M111" s="3"/>
      <c r="Z111" s="29">
        <f t="shared" si="91"/>
        <v>0</v>
      </c>
      <c r="AB111" s="29">
        <f t="shared" si="92"/>
        <v>0</v>
      </c>
      <c r="AC111" s="29">
        <f t="shared" si="93"/>
        <v>0</v>
      </c>
      <c r="AD111" s="29">
        <f t="shared" si="94"/>
        <v>0</v>
      </c>
      <c r="AE111" s="29">
        <f t="shared" si="95"/>
        <v>0</v>
      </c>
      <c r="AF111" s="29">
        <f t="shared" si="96"/>
        <v>0</v>
      </c>
      <c r="AG111" s="29">
        <f t="shared" si="97"/>
        <v>0</v>
      </c>
      <c r="AH111" s="29">
        <f t="shared" si="98"/>
        <v>0</v>
      </c>
      <c r="AI111" s="47"/>
      <c r="AJ111" s="29">
        <f t="shared" si="99"/>
        <v>0</v>
      </c>
      <c r="AK111" s="29">
        <f t="shared" si="100"/>
        <v>0</v>
      </c>
      <c r="AL111" s="29">
        <f t="shared" si="101"/>
        <v>0</v>
      </c>
      <c r="AN111" s="29">
        <v>15</v>
      </c>
      <c r="AO111" s="29">
        <f>H111*0.394147325933401</f>
        <v>0</v>
      </c>
      <c r="AP111" s="29">
        <f>H111*(1-0.394147325933401)</f>
        <v>0</v>
      </c>
      <c r="AQ111" s="63" t="s">
        <v>137</v>
      </c>
      <c r="AV111" s="29">
        <f t="shared" si="102"/>
        <v>0</v>
      </c>
      <c r="AW111" s="29">
        <f t="shared" si="103"/>
        <v>0</v>
      </c>
      <c r="AX111" s="29">
        <f t="shared" si="104"/>
        <v>0</v>
      </c>
      <c r="AY111" s="63" t="s">
        <v>382</v>
      </c>
      <c r="AZ111" s="63" t="s">
        <v>383</v>
      </c>
      <c r="BA111" s="47" t="s">
        <v>135</v>
      </c>
      <c r="BC111" s="29">
        <f t="shared" si="105"/>
        <v>0</v>
      </c>
      <c r="BD111" s="29">
        <f t="shared" si="106"/>
        <v>0</v>
      </c>
      <c r="BE111" s="29">
        <v>0</v>
      </c>
      <c r="BF111" s="29">
        <f>111</f>
        <v>111</v>
      </c>
      <c r="BH111" s="29">
        <f t="shared" si="107"/>
        <v>0</v>
      </c>
      <c r="BI111" s="29">
        <f t="shared" si="108"/>
        <v>0</v>
      </c>
      <c r="BJ111" s="29">
        <f t="shared" si="109"/>
        <v>0</v>
      </c>
      <c r="BK111" s="29" t="s">
        <v>136</v>
      </c>
      <c r="BL111" s="29">
        <v>96</v>
      </c>
    </row>
    <row r="112" spans="1:64" ht="12.75">
      <c r="A112" s="30" t="s">
        <v>411</v>
      </c>
      <c r="B112" s="4" t="s">
        <v>412</v>
      </c>
      <c r="C112" s="87" t="s">
        <v>413</v>
      </c>
      <c r="D112" s="87"/>
      <c r="E112" s="87"/>
      <c r="F112" s="4" t="s">
        <v>187</v>
      </c>
      <c r="G112" s="29">
        <v>11.9</v>
      </c>
      <c r="H112" s="29">
        <v>0</v>
      </c>
      <c r="I112" s="29">
        <f t="shared" si="88"/>
        <v>0</v>
      </c>
      <c r="J112" s="29">
        <f t="shared" si="89"/>
        <v>0</v>
      </c>
      <c r="K112" s="29">
        <f t="shared" si="90"/>
        <v>0</v>
      </c>
      <c r="L112" s="62"/>
      <c r="M112" s="3"/>
      <c r="Z112" s="29">
        <f t="shared" si="91"/>
        <v>0</v>
      </c>
      <c r="AB112" s="29">
        <f t="shared" si="92"/>
        <v>0</v>
      </c>
      <c r="AC112" s="29">
        <f t="shared" si="93"/>
        <v>0</v>
      </c>
      <c r="AD112" s="29">
        <f t="shared" si="94"/>
        <v>0</v>
      </c>
      <c r="AE112" s="29">
        <f t="shared" si="95"/>
        <v>0</v>
      </c>
      <c r="AF112" s="29">
        <f t="shared" si="96"/>
        <v>0</v>
      </c>
      <c r="AG112" s="29">
        <f t="shared" si="97"/>
        <v>0</v>
      </c>
      <c r="AH112" s="29">
        <f t="shared" si="98"/>
        <v>0</v>
      </c>
      <c r="AI112" s="47"/>
      <c r="AJ112" s="29">
        <f t="shared" si="99"/>
        <v>0</v>
      </c>
      <c r="AK112" s="29">
        <f t="shared" si="100"/>
        <v>0</v>
      </c>
      <c r="AL112" s="29">
        <f t="shared" si="101"/>
        <v>0</v>
      </c>
      <c r="AN112" s="29">
        <v>15</v>
      </c>
      <c r="AO112" s="29">
        <f>H112*0</f>
        <v>0</v>
      </c>
      <c r="AP112" s="29">
        <f>H112*(1-0)</f>
        <v>0</v>
      </c>
      <c r="AQ112" s="63" t="s">
        <v>128</v>
      </c>
      <c r="AV112" s="29">
        <f t="shared" si="102"/>
        <v>0</v>
      </c>
      <c r="AW112" s="29">
        <f t="shared" si="103"/>
        <v>0</v>
      </c>
      <c r="AX112" s="29">
        <f t="shared" si="104"/>
        <v>0</v>
      </c>
      <c r="AY112" s="63" t="s">
        <v>382</v>
      </c>
      <c r="AZ112" s="63" t="s">
        <v>383</v>
      </c>
      <c r="BA112" s="47" t="s">
        <v>135</v>
      </c>
      <c r="BC112" s="29">
        <f t="shared" si="105"/>
        <v>0</v>
      </c>
      <c r="BD112" s="29">
        <f t="shared" si="106"/>
        <v>0</v>
      </c>
      <c r="BE112" s="29">
        <v>0</v>
      </c>
      <c r="BF112" s="29">
        <f>112</f>
        <v>112</v>
      </c>
      <c r="BH112" s="29">
        <f t="shared" si="107"/>
        <v>0</v>
      </c>
      <c r="BI112" s="29">
        <f t="shared" si="108"/>
        <v>0</v>
      </c>
      <c r="BJ112" s="29">
        <f t="shared" si="109"/>
        <v>0</v>
      </c>
      <c r="BK112" s="29" t="s">
        <v>136</v>
      </c>
      <c r="BL112" s="29">
        <v>96</v>
      </c>
    </row>
    <row r="113" spans="1:47" ht="12.75">
      <c r="A113" s="64"/>
      <c r="B113" s="65" t="s">
        <v>79</v>
      </c>
      <c r="C113" s="111" t="s">
        <v>80</v>
      </c>
      <c r="D113" s="111"/>
      <c r="E113" s="111"/>
      <c r="F113" s="66" t="s">
        <v>99</v>
      </c>
      <c r="G113" s="66" t="s">
        <v>99</v>
      </c>
      <c r="H113" s="66" t="s">
        <v>99</v>
      </c>
      <c r="I113" s="61">
        <f>SUM(I114:I124)</f>
        <v>0</v>
      </c>
      <c r="J113" s="61">
        <f>SUM(J114:J124)</f>
        <v>0</v>
      </c>
      <c r="K113" s="61">
        <f>SUM(K114:K124)</f>
        <v>0</v>
      </c>
      <c r="L113" s="67"/>
      <c r="M113" s="3"/>
      <c r="AI113" s="47"/>
      <c r="AS113" s="61">
        <f>SUM(AJ114:AJ124)</f>
        <v>0</v>
      </c>
      <c r="AT113" s="61">
        <f>SUM(AK114:AK124)</f>
        <v>0</v>
      </c>
      <c r="AU113" s="61">
        <f>SUM(AL114:AL124)</f>
        <v>0</v>
      </c>
    </row>
    <row r="114" spans="1:64" ht="12.75">
      <c r="A114" s="30" t="s">
        <v>77</v>
      </c>
      <c r="B114" s="4" t="s">
        <v>414</v>
      </c>
      <c r="C114" s="87" t="s">
        <v>415</v>
      </c>
      <c r="D114" s="87"/>
      <c r="E114" s="87"/>
      <c r="F114" s="4" t="s">
        <v>381</v>
      </c>
      <c r="G114" s="29">
        <v>25</v>
      </c>
      <c r="H114" s="29">
        <v>0</v>
      </c>
      <c r="I114" s="29">
        <f aca="true" t="shared" si="110" ref="I114:I124">G114*AO114</f>
        <v>0</v>
      </c>
      <c r="J114" s="29">
        <f aca="true" t="shared" si="111" ref="J114:J124">G114*AP114</f>
        <v>0</v>
      </c>
      <c r="K114" s="29">
        <f aca="true" t="shared" si="112" ref="K114:K124">G114*H114</f>
        <v>0</v>
      </c>
      <c r="L114" s="62"/>
      <c r="M114" s="3"/>
      <c r="Z114" s="29">
        <f aca="true" t="shared" si="113" ref="Z114:Z124">IF(AQ114="5",BJ114,0)</f>
        <v>0</v>
      </c>
      <c r="AB114" s="29">
        <f aca="true" t="shared" si="114" ref="AB114:AB124">IF(AQ114="1",BH114,0)</f>
        <v>0</v>
      </c>
      <c r="AC114" s="29">
        <f aca="true" t="shared" si="115" ref="AC114:AC124">IF(AQ114="1",BI114,0)</f>
        <v>0</v>
      </c>
      <c r="AD114" s="29">
        <f aca="true" t="shared" si="116" ref="AD114:AD124">IF(AQ114="7",BH114,0)</f>
        <v>0</v>
      </c>
      <c r="AE114" s="29">
        <f aca="true" t="shared" si="117" ref="AE114:AE124">IF(AQ114="7",BI114,0)</f>
        <v>0</v>
      </c>
      <c r="AF114" s="29">
        <f aca="true" t="shared" si="118" ref="AF114:AF124">IF(AQ114="2",BH114,0)</f>
        <v>0</v>
      </c>
      <c r="AG114" s="29">
        <f aca="true" t="shared" si="119" ref="AG114:AG124">IF(AQ114="2",BI114,0)</f>
        <v>0</v>
      </c>
      <c r="AH114" s="29">
        <f aca="true" t="shared" si="120" ref="AH114:AH124">IF(AQ114="0",BJ114,0)</f>
        <v>0</v>
      </c>
      <c r="AI114" s="47"/>
      <c r="AJ114" s="29">
        <f aca="true" t="shared" si="121" ref="AJ114:AJ124">IF(AN114=0,K114,0)</f>
        <v>0</v>
      </c>
      <c r="AK114" s="29">
        <f aca="true" t="shared" si="122" ref="AK114:AK124">IF(AN114=15,K114,0)</f>
        <v>0</v>
      </c>
      <c r="AL114" s="29">
        <f aca="true" t="shared" si="123" ref="AL114:AL124">IF(AN114=21,K114,0)</f>
        <v>0</v>
      </c>
      <c r="AN114" s="29">
        <v>15</v>
      </c>
      <c r="AO114" s="29">
        <f>H114*0</f>
        <v>0</v>
      </c>
      <c r="AP114" s="29">
        <f>H114*(1-0)</f>
        <v>0</v>
      </c>
      <c r="AQ114" s="63" t="s">
        <v>128</v>
      </c>
      <c r="AV114" s="29">
        <f aca="true" t="shared" si="124" ref="AV114:AV124">AW114+AX114</f>
        <v>0</v>
      </c>
      <c r="AW114" s="29">
        <f aca="true" t="shared" si="125" ref="AW114:AW124">G114*AO114</f>
        <v>0</v>
      </c>
      <c r="AX114" s="29">
        <f aca="true" t="shared" si="126" ref="AX114:AX124">G114*AP114</f>
        <v>0</v>
      </c>
      <c r="AY114" s="63" t="s">
        <v>416</v>
      </c>
      <c r="AZ114" s="63" t="s">
        <v>383</v>
      </c>
      <c r="BA114" s="47" t="s">
        <v>135</v>
      </c>
      <c r="BC114" s="29">
        <f aca="true" t="shared" si="127" ref="BC114:BC124">AW114+AX114</f>
        <v>0</v>
      </c>
      <c r="BD114" s="29">
        <f aca="true" t="shared" si="128" ref="BD114:BD124">H114/(100-BE114)*100</f>
        <v>0</v>
      </c>
      <c r="BE114" s="29">
        <v>0</v>
      </c>
      <c r="BF114" s="29">
        <f>114</f>
        <v>114</v>
      </c>
      <c r="BH114" s="29">
        <f aca="true" t="shared" si="129" ref="BH114:BH124">G114*AO114</f>
        <v>0</v>
      </c>
      <c r="BI114" s="29">
        <f aca="true" t="shared" si="130" ref="BI114:BI124">G114*AP114</f>
        <v>0</v>
      </c>
      <c r="BJ114" s="29">
        <f aca="true" t="shared" si="131" ref="BJ114:BJ124">G114*H114</f>
        <v>0</v>
      </c>
      <c r="BK114" s="29" t="s">
        <v>136</v>
      </c>
      <c r="BL114" s="29">
        <v>97</v>
      </c>
    </row>
    <row r="115" spans="1:64" ht="12.75">
      <c r="A115" s="30" t="s">
        <v>79</v>
      </c>
      <c r="B115" s="4" t="s">
        <v>388</v>
      </c>
      <c r="C115" s="87" t="s">
        <v>389</v>
      </c>
      <c r="D115" s="87"/>
      <c r="E115" s="87"/>
      <c r="F115" s="4" t="s">
        <v>381</v>
      </c>
      <c r="G115" s="29">
        <v>28</v>
      </c>
      <c r="H115" s="29">
        <v>0</v>
      </c>
      <c r="I115" s="29">
        <f t="shared" si="110"/>
        <v>0</v>
      </c>
      <c r="J115" s="29">
        <f t="shared" si="111"/>
        <v>0</v>
      </c>
      <c r="K115" s="29">
        <f t="shared" si="112"/>
        <v>0</v>
      </c>
      <c r="L115" s="62"/>
      <c r="M115" s="3"/>
      <c r="Z115" s="29">
        <f t="shared" si="113"/>
        <v>0</v>
      </c>
      <c r="AB115" s="29">
        <f t="shared" si="114"/>
        <v>0</v>
      </c>
      <c r="AC115" s="29">
        <f t="shared" si="115"/>
        <v>0</v>
      </c>
      <c r="AD115" s="29">
        <f t="shared" si="116"/>
        <v>0</v>
      </c>
      <c r="AE115" s="29">
        <f t="shared" si="117"/>
        <v>0</v>
      </c>
      <c r="AF115" s="29">
        <f t="shared" si="118"/>
        <v>0</v>
      </c>
      <c r="AG115" s="29">
        <f t="shared" si="119"/>
        <v>0</v>
      </c>
      <c r="AH115" s="29">
        <f t="shared" si="120"/>
        <v>0</v>
      </c>
      <c r="AI115" s="47"/>
      <c r="AJ115" s="29">
        <f t="shared" si="121"/>
        <v>0</v>
      </c>
      <c r="AK115" s="29">
        <f t="shared" si="122"/>
        <v>0</v>
      </c>
      <c r="AL115" s="29">
        <f t="shared" si="123"/>
        <v>0</v>
      </c>
      <c r="AN115" s="29">
        <v>15</v>
      </c>
      <c r="AO115" s="29">
        <f>H115*0.646451187335092</f>
        <v>0</v>
      </c>
      <c r="AP115" s="29">
        <f>H115*(1-0.646451187335092)</f>
        <v>0</v>
      </c>
      <c r="AQ115" s="63" t="s">
        <v>128</v>
      </c>
      <c r="AV115" s="29">
        <f t="shared" si="124"/>
        <v>0</v>
      </c>
      <c r="AW115" s="29">
        <f t="shared" si="125"/>
        <v>0</v>
      </c>
      <c r="AX115" s="29">
        <f t="shared" si="126"/>
        <v>0</v>
      </c>
      <c r="AY115" s="63" t="s">
        <v>416</v>
      </c>
      <c r="AZ115" s="63" t="s">
        <v>383</v>
      </c>
      <c r="BA115" s="47" t="s">
        <v>135</v>
      </c>
      <c r="BC115" s="29">
        <f t="shared" si="127"/>
        <v>0</v>
      </c>
      <c r="BD115" s="29">
        <f t="shared" si="128"/>
        <v>0</v>
      </c>
      <c r="BE115" s="29">
        <v>0</v>
      </c>
      <c r="BF115" s="29">
        <f>115</f>
        <v>115</v>
      </c>
      <c r="BH115" s="29">
        <f t="shared" si="129"/>
        <v>0</v>
      </c>
      <c r="BI115" s="29">
        <f t="shared" si="130"/>
        <v>0</v>
      </c>
      <c r="BJ115" s="29">
        <f t="shared" si="131"/>
        <v>0</v>
      </c>
      <c r="BK115" s="29" t="s">
        <v>136</v>
      </c>
      <c r="BL115" s="29">
        <v>97</v>
      </c>
    </row>
    <row r="116" spans="1:64" ht="12.75">
      <c r="A116" s="30" t="s">
        <v>417</v>
      </c>
      <c r="B116" s="4" t="s">
        <v>418</v>
      </c>
      <c r="C116" s="87" t="s">
        <v>419</v>
      </c>
      <c r="D116" s="87"/>
      <c r="E116" s="87"/>
      <c r="F116" s="4" t="s">
        <v>131</v>
      </c>
      <c r="G116" s="29">
        <v>124</v>
      </c>
      <c r="H116" s="29">
        <v>0</v>
      </c>
      <c r="I116" s="29">
        <f t="shared" si="110"/>
        <v>0</v>
      </c>
      <c r="J116" s="29">
        <f t="shared" si="111"/>
        <v>0</v>
      </c>
      <c r="K116" s="29">
        <f t="shared" si="112"/>
        <v>0</v>
      </c>
      <c r="L116" s="62"/>
      <c r="M116" s="3"/>
      <c r="Z116" s="29">
        <f t="shared" si="113"/>
        <v>0</v>
      </c>
      <c r="AB116" s="29">
        <f t="shared" si="114"/>
        <v>0</v>
      </c>
      <c r="AC116" s="29">
        <f t="shared" si="115"/>
        <v>0</v>
      </c>
      <c r="AD116" s="29">
        <f t="shared" si="116"/>
        <v>0</v>
      </c>
      <c r="AE116" s="29">
        <f t="shared" si="117"/>
        <v>0</v>
      </c>
      <c r="AF116" s="29">
        <f t="shared" si="118"/>
        <v>0</v>
      </c>
      <c r="AG116" s="29">
        <f t="shared" si="119"/>
        <v>0</v>
      </c>
      <c r="AH116" s="29">
        <f t="shared" si="120"/>
        <v>0</v>
      </c>
      <c r="AI116" s="47"/>
      <c r="AJ116" s="29">
        <f t="shared" si="121"/>
        <v>0</v>
      </c>
      <c r="AK116" s="29">
        <f t="shared" si="122"/>
        <v>0</v>
      </c>
      <c r="AL116" s="29">
        <f t="shared" si="123"/>
        <v>0</v>
      </c>
      <c r="AN116" s="29">
        <v>15</v>
      </c>
      <c r="AO116" s="29">
        <f>H116*0.356396396396396</f>
        <v>0</v>
      </c>
      <c r="AP116" s="29">
        <f>H116*(1-0.356396396396396)</f>
        <v>0</v>
      </c>
      <c r="AQ116" s="63" t="s">
        <v>128</v>
      </c>
      <c r="AV116" s="29">
        <f t="shared" si="124"/>
        <v>0</v>
      </c>
      <c r="AW116" s="29">
        <f t="shared" si="125"/>
        <v>0</v>
      </c>
      <c r="AX116" s="29">
        <f t="shared" si="126"/>
        <v>0</v>
      </c>
      <c r="AY116" s="63" t="s">
        <v>416</v>
      </c>
      <c r="AZ116" s="63" t="s">
        <v>383</v>
      </c>
      <c r="BA116" s="47" t="s">
        <v>135</v>
      </c>
      <c r="BC116" s="29">
        <f t="shared" si="127"/>
        <v>0</v>
      </c>
      <c r="BD116" s="29">
        <f t="shared" si="128"/>
        <v>0</v>
      </c>
      <c r="BE116" s="29">
        <v>0</v>
      </c>
      <c r="BF116" s="29">
        <f>116</f>
        <v>116</v>
      </c>
      <c r="BH116" s="29">
        <f t="shared" si="129"/>
        <v>0</v>
      </c>
      <c r="BI116" s="29">
        <f t="shared" si="130"/>
        <v>0</v>
      </c>
      <c r="BJ116" s="29">
        <f t="shared" si="131"/>
        <v>0</v>
      </c>
      <c r="BK116" s="29" t="s">
        <v>136</v>
      </c>
      <c r="BL116" s="29">
        <v>97</v>
      </c>
    </row>
    <row r="117" spans="1:64" ht="12.75">
      <c r="A117" s="30" t="s">
        <v>420</v>
      </c>
      <c r="B117" s="4" t="s">
        <v>421</v>
      </c>
      <c r="C117" s="87" t="s">
        <v>422</v>
      </c>
      <c r="D117" s="87"/>
      <c r="E117" s="87"/>
      <c r="F117" s="4" t="s">
        <v>381</v>
      </c>
      <c r="G117" s="29">
        <v>53</v>
      </c>
      <c r="H117" s="29">
        <v>0</v>
      </c>
      <c r="I117" s="29">
        <f t="shared" si="110"/>
        <v>0</v>
      </c>
      <c r="J117" s="29">
        <f t="shared" si="111"/>
        <v>0</v>
      </c>
      <c r="K117" s="29">
        <f t="shared" si="112"/>
        <v>0</v>
      </c>
      <c r="L117" s="62"/>
      <c r="M117" s="3"/>
      <c r="Z117" s="29">
        <f t="shared" si="113"/>
        <v>0</v>
      </c>
      <c r="AB117" s="29">
        <f t="shared" si="114"/>
        <v>0</v>
      </c>
      <c r="AC117" s="29">
        <f t="shared" si="115"/>
        <v>0</v>
      </c>
      <c r="AD117" s="29">
        <f t="shared" si="116"/>
        <v>0</v>
      </c>
      <c r="AE117" s="29">
        <f t="shared" si="117"/>
        <v>0</v>
      </c>
      <c r="AF117" s="29">
        <f t="shared" si="118"/>
        <v>0</v>
      </c>
      <c r="AG117" s="29">
        <f t="shared" si="119"/>
        <v>0</v>
      </c>
      <c r="AH117" s="29">
        <f t="shared" si="120"/>
        <v>0</v>
      </c>
      <c r="AI117" s="47"/>
      <c r="AJ117" s="29">
        <f t="shared" si="121"/>
        <v>0</v>
      </c>
      <c r="AK117" s="29">
        <f t="shared" si="122"/>
        <v>0</v>
      </c>
      <c r="AL117" s="29">
        <f t="shared" si="123"/>
        <v>0</v>
      </c>
      <c r="AN117" s="29">
        <v>15</v>
      </c>
      <c r="AO117" s="29">
        <f>H117*0.493814432989691</f>
        <v>0</v>
      </c>
      <c r="AP117" s="29">
        <f>H117*(1-0.493814432989691)</f>
        <v>0</v>
      </c>
      <c r="AQ117" s="63" t="s">
        <v>128</v>
      </c>
      <c r="AV117" s="29">
        <f t="shared" si="124"/>
        <v>0</v>
      </c>
      <c r="AW117" s="29">
        <f t="shared" si="125"/>
        <v>0</v>
      </c>
      <c r="AX117" s="29">
        <f t="shared" si="126"/>
        <v>0</v>
      </c>
      <c r="AY117" s="63" t="s">
        <v>416</v>
      </c>
      <c r="AZ117" s="63" t="s">
        <v>383</v>
      </c>
      <c r="BA117" s="47" t="s">
        <v>135</v>
      </c>
      <c r="BC117" s="29">
        <f t="shared" si="127"/>
        <v>0</v>
      </c>
      <c r="BD117" s="29">
        <f t="shared" si="128"/>
        <v>0</v>
      </c>
      <c r="BE117" s="29">
        <v>0</v>
      </c>
      <c r="BF117" s="29">
        <f>117</f>
        <v>117</v>
      </c>
      <c r="BH117" s="29">
        <f t="shared" si="129"/>
        <v>0</v>
      </c>
      <c r="BI117" s="29">
        <f t="shared" si="130"/>
        <v>0</v>
      </c>
      <c r="BJ117" s="29">
        <f t="shared" si="131"/>
        <v>0</v>
      </c>
      <c r="BK117" s="29" t="s">
        <v>136</v>
      </c>
      <c r="BL117" s="29">
        <v>97</v>
      </c>
    </row>
    <row r="118" spans="1:64" ht="12.75">
      <c r="A118" s="30" t="s">
        <v>423</v>
      </c>
      <c r="B118" s="4" t="s">
        <v>424</v>
      </c>
      <c r="C118" s="87" t="s">
        <v>425</v>
      </c>
      <c r="D118" s="87"/>
      <c r="E118" s="87"/>
      <c r="F118" s="4" t="s">
        <v>381</v>
      </c>
      <c r="G118" s="29">
        <v>53</v>
      </c>
      <c r="H118" s="29">
        <v>0</v>
      </c>
      <c r="I118" s="29">
        <f t="shared" si="110"/>
        <v>0</v>
      </c>
      <c r="J118" s="29">
        <f t="shared" si="111"/>
        <v>0</v>
      </c>
      <c r="K118" s="29">
        <f t="shared" si="112"/>
        <v>0</v>
      </c>
      <c r="L118" s="62"/>
      <c r="M118" s="3"/>
      <c r="Z118" s="29">
        <f t="shared" si="113"/>
        <v>0</v>
      </c>
      <c r="AB118" s="29">
        <f t="shared" si="114"/>
        <v>0</v>
      </c>
      <c r="AC118" s="29">
        <f t="shared" si="115"/>
        <v>0</v>
      </c>
      <c r="AD118" s="29">
        <f t="shared" si="116"/>
        <v>0</v>
      </c>
      <c r="AE118" s="29">
        <f t="shared" si="117"/>
        <v>0</v>
      </c>
      <c r="AF118" s="29">
        <f t="shared" si="118"/>
        <v>0</v>
      </c>
      <c r="AG118" s="29">
        <f t="shared" si="119"/>
        <v>0</v>
      </c>
      <c r="AH118" s="29">
        <f t="shared" si="120"/>
        <v>0</v>
      </c>
      <c r="AI118" s="47"/>
      <c r="AJ118" s="29">
        <f t="shared" si="121"/>
        <v>0</v>
      </c>
      <c r="AK118" s="29">
        <f t="shared" si="122"/>
        <v>0</v>
      </c>
      <c r="AL118" s="29">
        <f t="shared" si="123"/>
        <v>0</v>
      </c>
      <c r="AN118" s="29">
        <v>15</v>
      </c>
      <c r="AO118" s="29">
        <f>H118*0.132711621233859</f>
        <v>0</v>
      </c>
      <c r="AP118" s="29">
        <f>H118*(1-0.132711621233859)</f>
        <v>0</v>
      </c>
      <c r="AQ118" s="63" t="s">
        <v>128</v>
      </c>
      <c r="AV118" s="29">
        <f t="shared" si="124"/>
        <v>0</v>
      </c>
      <c r="AW118" s="29">
        <f t="shared" si="125"/>
        <v>0</v>
      </c>
      <c r="AX118" s="29">
        <f t="shared" si="126"/>
        <v>0</v>
      </c>
      <c r="AY118" s="63" t="s">
        <v>416</v>
      </c>
      <c r="AZ118" s="63" t="s">
        <v>383</v>
      </c>
      <c r="BA118" s="47" t="s">
        <v>135</v>
      </c>
      <c r="BC118" s="29">
        <f t="shared" si="127"/>
        <v>0</v>
      </c>
      <c r="BD118" s="29">
        <f t="shared" si="128"/>
        <v>0</v>
      </c>
      <c r="BE118" s="29">
        <v>0</v>
      </c>
      <c r="BF118" s="29">
        <f>118</f>
        <v>118</v>
      </c>
      <c r="BH118" s="29">
        <f t="shared" si="129"/>
        <v>0</v>
      </c>
      <c r="BI118" s="29">
        <f t="shared" si="130"/>
        <v>0</v>
      </c>
      <c r="BJ118" s="29">
        <f t="shared" si="131"/>
        <v>0</v>
      </c>
      <c r="BK118" s="29" t="s">
        <v>136</v>
      </c>
      <c r="BL118" s="29">
        <v>97</v>
      </c>
    </row>
    <row r="119" spans="1:64" ht="12.75">
      <c r="A119" s="30" t="s">
        <v>426</v>
      </c>
      <c r="B119" s="4" t="s">
        <v>427</v>
      </c>
      <c r="C119" s="87" t="s">
        <v>428</v>
      </c>
      <c r="D119" s="87"/>
      <c r="E119" s="87"/>
      <c r="F119" s="4" t="s">
        <v>381</v>
      </c>
      <c r="G119" s="29">
        <v>53</v>
      </c>
      <c r="H119" s="29">
        <v>0</v>
      </c>
      <c r="I119" s="29">
        <f t="shared" si="110"/>
        <v>0</v>
      </c>
      <c r="J119" s="29">
        <f t="shared" si="111"/>
        <v>0</v>
      </c>
      <c r="K119" s="29">
        <f t="shared" si="112"/>
        <v>0</v>
      </c>
      <c r="L119" s="62"/>
      <c r="M119" s="3"/>
      <c r="Z119" s="29">
        <f t="shared" si="113"/>
        <v>0</v>
      </c>
      <c r="AB119" s="29">
        <f t="shared" si="114"/>
        <v>0</v>
      </c>
      <c r="AC119" s="29">
        <f t="shared" si="115"/>
        <v>0</v>
      </c>
      <c r="AD119" s="29">
        <f t="shared" si="116"/>
        <v>0</v>
      </c>
      <c r="AE119" s="29">
        <f t="shared" si="117"/>
        <v>0</v>
      </c>
      <c r="AF119" s="29">
        <f t="shared" si="118"/>
        <v>0</v>
      </c>
      <c r="AG119" s="29">
        <f t="shared" si="119"/>
        <v>0</v>
      </c>
      <c r="AH119" s="29">
        <f t="shared" si="120"/>
        <v>0</v>
      </c>
      <c r="AI119" s="47"/>
      <c r="AJ119" s="29">
        <f t="shared" si="121"/>
        <v>0</v>
      </c>
      <c r="AK119" s="29">
        <f t="shared" si="122"/>
        <v>0</v>
      </c>
      <c r="AL119" s="29">
        <f t="shared" si="123"/>
        <v>0</v>
      </c>
      <c r="AN119" s="29">
        <v>15</v>
      </c>
      <c r="AO119" s="29">
        <f>H119*0</f>
        <v>0</v>
      </c>
      <c r="AP119" s="29">
        <f>H119*(1-0)</f>
        <v>0</v>
      </c>
      <c r="AQ119" s="63" t="s">
        <v>128</v>
      </c>
      <c r="AV119" s="29">
        <f t="shared" si="124"/>
        <v>0</v>
      </c>
      <c r="AW119" s="29">
        <f t="shared" si="125"/>
        <v>0</v>
      </c>
      <c r="AX119" s="29">
        <f t="shared" si="126"/>
        <v>0</v>
      </c>
      <c r="AY119" s="63" t="s">
        <v>416</v>
      </c>
      <c r="AZ119" s="63" t="s">
        <v>383</v>
      </c>
      <c r="BA119" s="47" t="s">
        <v>135</v>
      </c>
      <c r="BC119" s="29">
        <f t="shared" si="127"/>
        <v>0</v>
      </c>
      <c r="BD119" s="29">
        <f t="shared" si="128"/>
        <v>0</v>
      </c>
      <c r="BE119" s="29">
        <v>0</v>
      </c>
      <c r="BF119" s="29">
        <f>119</f>
        <v>119</v>
      </c>
      <c r="BH119" s="29">
        <f t="shared" si="129"/>
        <v>0</v>
      </c>
      <c r="BI119" s="29">
        <f t="shared" si="130"/>
        <v>0</v>
      </c>
      <c r="BJ119" s="29">
        <f t="shared" si="131"/>
        <v>0</v>
      </c>
      <c r="BK119" s="29" t="s">
        <v>136</v>
      </c>
      <c r="BL119" s="29">
        <v>97</v>
      </c>
    </row>
    <row r="120" spans="1:64" ht="12.75">
      <c r="A120" s="30" t="s">
        <v>429</v>
      </c>
      <c r="B120" s="4" t="s">
        <v>430</v>
      </c>
      <c r="C120" s="87" t="s">
        <v>431</v>
      </c>
      <c r="D120" s="87"/>
      <c r="E120" s="87"/>
      <c r="F120" s="4" t="s">
        <v>381</v>
      </c>
      <c r="G120" s="29">
        <v>53</v>
      </c>
      <c r="H120" s="29">
        <v>0</v>
      </c>
      <c r="I120" s="29">
        <f t="shared" si="110"/>
        <v>0</v>
      </c>
      <c r="J120" s="29">
        <f t="shared" si="111"/>
        <v>0</v>
      </c>
      <c r="K120" s="29">
        <f t="shared" si="112"/>
        <v>0</v>
      </c>
      <c r="L120" s="62"/>
      <c r="M120" s="3"/>
      <c r="Z120" s="29">
        <f t="shared" si="113"/>
        <v>0</v>
      </c>
      <c r="AB120" s="29">
        <f t="shared" si="114"/>
        <v>0</v>
      </c>
      <c r="AC120" s="29">
        <f t="shared" si="115"/>
        <v>0</v>
      </c>
      <c r="AD120" s="29">
        <f t="shared" si="116"/>
        <v>0</v>
      </c>
      <c r="AE120" s="29">
        <f t="shared" si="117"/>
        <v>0</v>
      </c>
      <c r="AF120" s="29">
        <f t="shared" si="118"/>
        <v>0</v>
      </c>
      <c r="AG120" s="29">
        <f t="shared" si="119"/>
        <v>0</v>
      </c>
      <c r="AH120" s="29">
        <f t="shared" si="120"/>
        <v>0</v>
      </c>
      <c r="AI120" s="47"/>
      <c r="AJ120" s="29">
        <f t="shared" si="121"/>
        <v>0</v>
      </c>
      <c r="AK120" s="29">
        <f t="shared" si="122"/>
        <v>0</v>
      </c>
      <c r="AL120" s="29">
        <f t="shared" si="123"/>
        <v>0</v>
      </c>
      <c r="AN120" s="29">
        <v>15</v>
      </c>
      <c r="AO120" s="29">
        <f>H120*1</f>
        <v>0</v>
      </c>
      <c r="AP120" s="29">
        <f>H120*(1-1)</f>
        <v>0</v>
      </c>
      <c r="AQ120" s="63" t="s">
        <v>128</v>
      </c>
      <c r="AV120" s="29">
        <f t="shared" si="124"/>
        <v>0</v>
      </c>
      <c r="AW120" s="29">
        <f t="shared" si="125"/>
        <v>0</v>
      </c>
      <c r="AX120" s="29">
        <f t="shared" si="126"/>
        <v>0</v>
      </c>
      <c r="AY120" s="63" t="s">
        <v>416</v>
      </c>
      <c r="AZ120" s="63" t="s">
        <v>383</v>
      </c>
      <c r="BA120" s="47" t="s">
        <v>135</v>
      </c>
      <c r="BC120" s="29">
        <f t="shared" si="127"/>
        <v>0</v>
      </c>
      <c r="BD120" s="29">
        <f t="shared" si="128"/>
        <v>0</v>
      </c>
      <c r="BE120" s="29">
        <v>0</v>
      </c>
      <c r="BF120" s="29">
        <f>120</f>
        <v>120</v>
      </c>
      <c r="BH120" s="29">
        <f t="shared" si="129"/>
        <v>0</v>
      </c>
      <c r="BI120" s="29">
        <f t="shared" si="130"/>
        <v>0</v>
      </c>
      <c r="BJ120" s="29">
        <f t="shared" si="131"/>
        <v>0</v>
      </c>
      <c r="BK120" s="29" t="s">
        <v>136</v>
      </c>
      <c r="BL120" s="29">
        <v>97</v>
      </c>
    </row>
    <row r="121" spans="1:64" ht="12.75">
      <c r="A121" s="30" t="s">
        <v>432</v>
      </c>
      <c r="B121" s="4" t="s">
        <v>433</v>
      </c>
      <c r="C121" s="87" t="s">
        <v>434</v>
      </c>
      <c r="D121" s="87"/>
      <c r="E121" s="87"/>
      <c r="F121" s="4" t="s">
        <v>381</v>
      </c>
      <c r="G121" s="29">
        <v>53</v>
      </c>
      <c r="H121" s="29">
        <v>0</v>
      </c>
      <c r="I121" s="29">
        <f t="shared" si="110"/>
        <v>0</v>
      </c>
      <c r="J121" s="29">
        <f t="shared" si="111"/>
        <v>0</v>
      </c>
      <c r="K121" s="29">
        <f t="shared" si="112"/>
        <v>0</v>
      </c>
      <c r="L121" s="62"/>
      <c r="M121" s="3"/>
      <c r="Z121" s="29">
        <f t="shared" si="113"/>
        <v>0</v>
      </c>
      <c r="AB121" s="29">
        <f t="shared" si="114"/>
        <v>0</v>
      </c>
      <c r="AC121" s="29">
        <f t="shared" si="115"/>
        <v>0</v>
      </c>
      <c r="AD121" s="29">
        <f t="shared" si="116"/>
        <v>0</v>
      </c>
      <c r="AE121" s="29">
        <f t="shared" si="117"/>
        <v>0</v>
      </c>
      <c r="AF121" s="29">
        <f t="shared" si="118"/>
        <v>0</v>
      </c>
      <c r="AG121" s="29">
        <f t="shared" si="119"/>
        <v>0</v>
      </c>
      <c r="AH121" s="29">
        <f t="shared" si="120"/>
        <v>0</v>
      </c>
      <c r="AI121" s="47"/>
      <c r="AJ121" s="29">
        <f t="shared" si="121"/>
        <v>0</v>
      </c>
      <c r="AK121" s="29">
        <f t="shared" si="122"/>
        <v>0</v>
      </c>
      <c r="AL121" s="29">
        <f t="shared" si="123"/>
        <v>0</v>
      </c>
      <c r="AN121" s="29">
        <v>15</v>
      </c>
      <c r="AO121" s="29">
        <f>H121*0</f>
        <v>0</v>
      </c>
      <c r="AP121" s="29">
        <f>H121*(1-0)</f>
        <v>0</v>
      </c>
      <c r="AQ121" s="63" t="s">
        <v>128</v>
      </c>
      <c r="AV121" s="29">
        <f t="shared" si="124"/>
        <v>0</v>
      </c>
      <c r="AW121" s="29">
        <f t="shared" si="125"/>
        <v>0</v>
      </c>
      <c r="AX121" s="29">
        <f t="shared" si="126"/>
        <v>0</v>
      </c>
      <c r="AY121" s="63" t="s">
        <v>416</v>
      </c>
      <c r="AZ121" s="63" t="s">
        <v>383</v>
      </c>
      <c r="BA121" s="47" t="s">
        <v>135</v>
      </c>
      <c r="BC121" s="29">
        <f t="shared" si="127"/>
        <v>0</v>
      </c>
      <c r="BD121" s="29">
        <f t="shared" si="128"/>
        <v>0</v>
      </c>
      <c r="BE121" s="29">
        <v>0</v>
      </c>
      <c r="BF121" s="29">
        <f>121</f>
        <v>121</v>
      </c>
      <c r="BH121" s="29">
        <f t="shared" si="129"/>
        <v>0</v>
      </c>
      <c r="BI121" s="29">
        <f t="shared" si="130"/>
        <v>0</v>
      </c>
      <c r="BJ121" s="29">
        <f t="shared" si="131"/>
        <v>0</v>
      </c>
      <c r="BK121" s="29" t="s">
        <v>136</v>
      </c>
      <c r="BL121" s="29">
        <v>97</v>
      </c>
    </row>
    <row r="122" spans="1:64" ht="12.75">
      <c r="A122" s="30" t="s">
        <v>435</v>
      </c>
      <c r="B122" s="4" t="s">
        <v>406</v>
      </c>
      <c r="C122" s="87" t="s">
        <v>407</v>
      </c>
      <c r="D122" s="87"/>
      <c r="E122" s="87"/>
      <c r="F122" s="4" t="s">
        <v>381</v>
      </c>
      <c r="G122" s="29">
        <v>200</v>
      </c>
      <c r="H122" s="29">
        <v>0</v>
      </c>
      <c r="I122" s="29">
        <f t="shared" si="110"/>
        <v>0</v>
      </c>
      <c r="J122" s="29">
        <f t="shared" si="111"/>
        <v>0</v>
      </c>
      <c r="K122" s="29">
        <f t="shared" si="112"/>
        <v>0</v>
      </c>
      <c r="L122" s="62"/>
      <c r="M122" s="3"/>
      <c r="Z122" s="29">
        <f t="shared" si="113"/>
        <v>0</v>
      </c>
      <c r="AB122" s="29">
        <f t="shared" si="114"/>
        <v>0</v>
      </c>
      <c r="AC122" s="29">
        <f t="shared" si="115"/>
        <v>0</v>
      </c>
      <c r="AD122" s="29">
        <f t="shared" si="116"/>
        <v>0</v>
      </c>
      <c r="AE122" s="29">
        <f t="shared" si="117"/>
        <v>0</v>
      </c>
      <c r="AF122" s="29">
        <f t="shared" si="118"/>
        <v>0</v>
      </c>
      <c r="AG122" s="29">
        <f t="shared" si="119"/>
        <v>0</v>
      </c>
      <c r="AH122" s="29">
        <f t="shared" si="120"/>
        <v>0</v>
      </c>
      <c r="AI122" s="47"/>
      <c r="AJ122" s="29">
        <f t="shared" si="121"/>
        <v>0</v>
      </c>
      <c r="AK122" s="29">
        <f t="shared" si="122"/>
        <v>0</v>
      </c>
      <c r="AL122" s="29">
        <f t="shared" si="123"/>
        <v>0</v>
      </c>
      <c r="AN122" s="29">
        <v>15</v>
      </c>
      <c r="AO122" s="29">
        <f>H122*0</f>
        <v>0</v>
      </c>
      <c r="AP122" s="29">
        <f>H122*(1-0)</f>
        <v>0</v>
      </c>
      <c r="AQ122" s="63" t="s">
        <v>128</v>
      </c>
      <c r="AV122" s="29">
        <f t="shared" si="124"/>
        <v>0</v>
      </c>
      <c r="AW122" s="29">
        <f t="shared" si="125"/>
        <v>0</v>
      </c>
      <c r="AX122" s="29">
        <f t="shared" si="126"/>
        <v>0</v>
      </c>
      <c r="AY122" s="63" t="s">
        <v>416</v>
      </c>
      <c r="AZ122" s="63" t="s">
        <v>383</v>
      </c>
      <c r="BA122" s="47" t="s">
        <v>135</v>
      </c>
      <c r="BC122" s="29">
        <f t="shared" si="127"/>
        <v>0</v>
      </c>
      <c r="BD122" s="29">
        <f t="shared" si="128"/>
        <v>0</v>
      </c>
      <c r="BE122" s="29">
        <v>0</v>
      </c>
      <c r="BF122" s="29">
        <f>122</f>
        <v>122</v>
      </c>
      <c r="BH122" s="29">
        <f t="shared" si="129"/>
        <v>0</v>
      </c>
      <c r="BI122" s="29">
        <f t="shared" si="130"/>
        <v>0</v>
      </c>
      <c r="BJ122" s="29">
        <f t="shared" si="131"/>
        <v>0</v>
      </c>
      <c r="BK122" s="29" t="s">
        <v>136</v>
      </c>
      <c r="BL122" s="29">
        <v>97</v>
      </c>
    </row>
    <row r="123" spans="1:64" ht="12.75">
      <c r="A123" s="30" t="s">
        <v>436</v>
      </c>
      <c r="B123" s="4" t="s">
        <v>409</v>
      </c>
      <c r="C123" s="87" t="s">
        <v>437</v>
      </c>
      <c r="D123" s="87"/>
      <c r="E123" s="87"/>
      <c r="F123" s="4" t="s">
        <v>131</v>
      </c>
      <c r="G123" s="29">
        <v>60</v>
      </c>
      <c r="H123" s="29">
        <v>0</v>
      </c>
      <c r="I123" s="29">
        <f t="shared" si="110"/>
        <v>0</v>
      </c>
      <c r="J123" s="29">
        <f t="shared" si="111"/>
        <v>0</v>
      </c>
      <c r="K123" s="29">
        <f t="shared" si="112"/>
        <v>0</v>
      </c>
      <c r="L123" s="62"/>
      <c r="M123" s="3"/>
      <c r="Z123" s="29">
        <f t="shared" si="113"/>
        <v>0</v>
      </c>
      <c r="AB123" s="29">
        <f t="shared" si="114"/>
        <v>0</v>
      </c>
      <c r="AC123" s="29">
        <f t="shared" si="115"/>
        <v>0</v>
      </c>
      <c r="AD123" s="29">
        <f t="shared" si="116"/>
        <v>0</v>
      </c>
      <c r="AE123" s="29">
        <f t="shared" si="117"/>
        <v>0</v>
      </c>
      <c r="AF123" s="29">
        <f t="shared" si="118"/>
        <v>0</v>
      </c>
      <c r="AG123" s="29">
        <f t="shared" si="119"/>
        <v>0</v>
      </c>
      <c r="AH123" s="29">
        <f t="shared" si="120"/>
        <v>0</v>
      </c>
      <c r="AI123" s="47"/>
      <c r="AJ123" s="29">
        <f t="shared" si="121"/>
        <v>0</v>
      </c>
      <c r="AK123" s="29">
        <f t="shared" si="122"/>
        <v>0</v>
      </c>
      <c r="AL123" s="29">
        <f t="shared" si="123"/>
        <v>0</v>
      </c>
      <c r="AN123" s="29">
        <v>15</v>
      </c>
      <c r="AO123" s="29">
        <f>H123*0.394147325933401</f>
        <v>0</v>
      </c>
      <c r="AP123" s="29">
        <f>H123*(1-0.394147325933401)</f>
        <v>0</v>
      </c>
      <c r="AQ123" s="63" t="s">
        <v>137</v>
      </c>
      <c r="AV123" s="29">
        <f t="shared" si="124"/>
        <v>0</v>
      </c>
      <c r="AW123" s="29">
        <f t="shared" si="125"/>
        <v>0</v>
      </c>
      <c r="AX123" s="29">
        <f t="shared" si="126"/>
        <v>0</v>
      </c>
      <c r="AY123" s="63" t="s">
        <v>416</v>
      </c>
      <c r="AZ123" s="63" t="s">
        <v>383</v>
      </c>
      <c r="BA123" s="47" t="s">
        <v>135</v>
      </c>
      <c r="BC123" s="29">
        <f t="shared" si="127"/>
        <v>0</v>
      </c>
      <c r="BD123" s="29">
        <f t="shared" si="128"/>
        <v>0</v>
      </c>
      <c r="BE123" s="29">
        <v>0</v>
      </c>
      <c r="BF123" s="29">
        <f>123</f>
        <v>123</v>
      </c>
      <c r="BH123" s="29">
        <f t="shared" si="129"/>
        <v>0</v>
      </c>
      <c r="BI123" s="29">
        <f t="shared" si="130"/>
        <v>0</v>
      </c>
      <c r="BJ123" s="29">
        <f t="shared" si="131"/>
        <v>0</v>
      </c>
      <c r="BK123" s="29" t="s">
        <v>136</v>
      </c>
      <c r="BL123" s="29">
        <v>97</v>
      </c>
    </row>
    <row r="124" spans="1:64" ht="12.75">
      <c r="A124" s="30" t="s">
        <v>438</v>
      </c>
      <c r="B124" s="4" t="s">
        <v>412</v>
      </c>
      <c r="C124" s="87" t="s">
        <v>413</v>
      </c>
      <c r="D124" s="87"/>
      <c r="E124" s="87"/>
      <c r="F124" s="4" t="s">
        <v>187</v>
      </c>
      <c r="G124" s="29">
        <v>1.7</v>
      </c>
      <c r="H124" s="29">
        <v>0</v>
      </c>
      <c r="I124" s="29">
        <f t="shared" si="110"/>
        <v>0</v>
      </c>
      <c r="J124" s="29">
        <f t="shared" si="111"/>
        <v>0</v>
      </c>
      <c r="K124" s="29">
        <f t="shared" si="112"/>
        <v>0</v>
      </c>
      <c r="L124" s="62"/>
      <c r="M124" s="3"/>
      <c r="Z124" s="29">
        <f t="shared" si="113"/>
        <v>0</v>
      </c>
      <c r="AB124" s="29">
        <f t="shared" si="114"/>
        <v>0</v>
      </c>
      <c r="AC124" s="29">
        <f t="shared" si="115"/>
        <v>0</v>
      </c>
      <c r="AD124" s="29">
        <f t="shared" si="116"/>
        <v>0</v>
      </c>
      <c r="AE124" s="29">
        <f t="shared" si="117"/>
        <v>0</v>
      </c>
      <c r="AF124" s="29">
        <f t="shared" si="118"/>
        <v>0</v>
      </c>
      <c r="AG124" s="29">
        <f t="shared" si="119"/>
        <v>0</v>
      </c>
      <c r="AH124" s="29">
        <f t="shared" si="120"/>
        <v>0</v>
      </c>
      <c r="AI124" s="47"/>
      <c r="AJ124" s="29">
        <f t="shared" si="121"/>
        <v>0</v>
      </c>
      <c r="AK124" s="29">
        <f t="shared" si="122"/>
        <v>0</v>
      </c>
      <c r="AL124" s="29">
        <f t="shared" si="123"/>
        <v>0</v>
      </c>
      <c r="AN124" s="29">
        <v>15</v>
      </c>
      <c r="AO124" s="29">
        <f>H124*0</f>
        <v>0</v>
      </c>
      <c r="AP124" s="29">
        <f>H124*(1-0)</f>
        <v>0</v>
      </c>
      <c r="AQ124" s="63" t="s">
        <v>128</v>
      </c>
      <c r="AV124" s="29">
        <f t="shared" si="124"/>
        <v>0</v>
      </c>
      <c r="AW124" s="29">
        <f t="shared" si="125"/>
        <v>0</v>
      </c>
      <c r="AX124" s="29">
        <f t="shared" si="126"/>
        <v>0</v>
      </c>
      <c r="AY124" s="63" t="s">
        <v>416</v>
      </c>
      <c r="AZ124" s="63" t="s">
        <v>383</v>
      </c>
      <c r="BA124" s="47" t="s">
        <v>135</v>
      </c>
      <c r="BC124" s="29">
        <f t="shared" si="127"/>
        <v>0</v>
      </c>
      <c r="BD124" s="29">
        <f t="shared" si="128"/>
        <v>0</v>
      </c>
      <c r="BE124" s="29">
        <v>0</v>
      </c>
      <c r="BF124" s="29">
        <f>124</f>
        <v>124</v>
      </c>
      <c r="BH124" s="29">
        <f t="shared" si="129"/>
        <v>0</v>
      </c>
      <c r="BI124" s="29">
        <f t="shared" si="130"/>
        <v>0</v>
      </c>
      <c r="BJ124" s="29">
        <f t="shared" si="131"/>
        <v>0</v>
      </c>
      <c r="BK124" s="29" t="s">
        <v>136</v>
      </c>
      <c r="BL124" s="29">
        <v>97</v>
      </c>
    </row>
    <row r="125" spans="1:47" ht="12.75">
      <c r="A125" s="64"/>
      <c r="B125" s="65" t="s">
        <v>81</v>
      </c>
      <c r="C125" s="111" t="s">
        <v>82</v>
      </c>
      <c r="D125" s="111"/>
      <c r="E125" s="111"/>
      <c r="F125" s="66" t="s">
        <v>99</v>
      </c>
      <c r="G125" s="66" t="s">
        <v>99</v>
      </c>
      <c r="H125" s="66" t="s">
        <v>99</v>
      </c>
      <c r="I125" s="61">
        <f>SUM(I126:I129)</f>
        <v>0</v>
      </c>
      <c r="J125" s="61">
        <f>SUM(J126:J129)</f>
        <v>0</v>
      </c>
      <c r="K125" s="61">
        <f>SUM(K126:K129)</f>
        <v>0</v>
      </c>
      <c r="L125" s="67"/>
      <c r="M125" s="3"/>
      <c r="AI125" s="47"/>
      <c r="AS125" s="61">
        <f>SUM(AJ126:AJ129)</f>
        <v>0</v>
      </c>
      <c r="AT125" s="61">
        <f>SUM(AK126:AK129)</f>
        <v>0</v>
      </c>
      <c r="AU125" s="61">
        <f>SUM(AL126:AL129)</f>
        <v>0</v>
      </c>
    </row>
    <row r="126" spans="1:64" ht="12.75">
      <c r="A126" s="30" t="s">
        <v>439</v>
      </c>
      <c r="B126" s="4" t="s">
        <v>440</v>
      </c>
      <c r="C126" s="87" t="s">
        <v>441</v>
      </c>
      <c r="D126" s="87"/>
      <c r="E126" s="87"/>
      <c r="F126" s="4" t="s">
        <v>187</v>
      </c>
      <c r="G126" s="29">
        <v>12.6</v>
      </c>
      <c r="H126" s="29">
        <v>0</v>
      </c>
      <c r="I126" s="29">
        <f>G126*AO126</f>
        <v>0</v>
      </c>
      <c r="J126" s="29">
        <f>G126*AP126</f>
        <v>0</v>
      </c>
      <c r="K126" s="29">
        <f>G126*H126</f>
        <v>0</v>
      </c>
      <c r="L126" s="62"/>
      <c r="M126" s="3"/>
      <c r="Z126" s="29">
        <f>IF(AQ126="5",BJ126,0)</f>
        <v>0</v>
      </c>
      <c r="AB126" s="29">
        <f>IF(AQ126="1",BH126,0)</f>
        <v>0</v>
      </c>
      <c r="AC126" s="29">
        <f>IF(AQ126="1",BI126,0)</f>
        <v>0</v>
      </c>
      <c r="AD126" s="29">
        <f>IF(AQ126="7",BH126,0)</f>
        <v>0</v>
      </c>
      <c r="AE126" s="29">
        <f>IF(AQ126="7",BI126,0)</f>
        <v>0</v>
      </c>
      <c r="AF126" s="29">
        <f>IF(AQ126="2",BH126,0)</f>
        <v>0</v>
      </c>
      <c r="AG126" s="29">
        <f>IF(AQ126="2",BI126,0)</f>
        <v>0</v>
      </c>
      <c r="AH126" s="29">
        <f>IF(AQ126="0",BJ126,0)</f>
        <v>0</v>
      </c>
      <c r="AI126" s="47"/>
      <c r="AJ126" s="29">
        <f>IF(AN126=0,K126,0)</f>
        <v>0</v>
      </c>
      <c r="AK126" s="29">
        <f>IF(AN126=15,K126,0)</f>
        <v>0</v>
      </c>
      <c r="AL126" s="29">
        <f>IF(AN126=21,K126,0)</f>
        <v>0</v>
      </c>
      <c r="AN126" s="29">
        <v>15</v>
      </c>
      <c r="AO126" s="29">
        <f>H126*0</f>
        <v>0</v>
      </c>
      <c r="AP126" s="29">
        <f>H126*(1-0)</f>
        <v>0</v>
      </c>
      <c r="AQ126" s="63" t="s">
        <v>146</v>
      </c>
      <c r="AV126" s="29">
        <f>AW126+AX126</f>
        <v>0</v>
      </c>
      <c r="AW126" s="29">
        <f>G126*AO126</f>
        <v>0</v>
      </c>
      <c r="AX126" s="29">
        <f>G126*AP126</f>
        <v>0</v>
      </c>
      <c r="AY126" s="63" t="s">
        <v>442</v>
      </c>
      <c r="AZ126" s="63" t="s">
        <v>383</v>
      </c>
      <c r="BA126" s="47" t="s">
        <v>135</v>
      </c>
      <c r="BC126" s="29">
        <f>AW126+AX126</f>
        <v>0</v>
      </c>
      <c r="BD126" s="29">
        <f>H126/(100-BE126)*100</f>
        <v>0</v>
      </c>
      <c r="BE126" s="29">
        <v>0</v>
      </c>
      <c r="BF126" s="29">
        <f>126</f>
        <v>126</v>
      </c>
      <c r="BH126" s="29">
        <f>G126*AO126</f>
        <v>0</v>
      </c>
      <c r="BI126" s="29">
        <f>G126*AP126</f>
        <v>0</v>
      </c>
      <c r="BJ126" s="29">
        <f>G126*H126</f>
        <v>0</v>
      </c>
      <c r="BK126" s="29" t="s">
        <v>136</v>
      </c>
      <c r="BL126" s="29" t="s">
        <v>81</v>
      </c>
    </row>
    <row r="127" spans="1:64" ht="12.75">
      <c r="A127" s="30" t="s">
        <v>443</v>
      </c>
      <c r="B127" s="4" t="s">
        <v>444</v>
      </c>
      <c r="C127" s="87" t="s">
        <v>445</v>
      </c>
      <c r="D127" s="87"/>
      <c r="E127" s="87"/>
      <c r="F127" s="4" t="s">
        <v>187</v>
      </c>
      <c r="G127" s="29">
        <v>0.4</v>
      </c>
      <c r="H127" s="29">
        <v>0</v>
      </c>
      <c r="I127" s="29">
        <f>G127*AO127</f>
        <v>0</v>
      </c>
      <c r="J127" s="29">
        <f>G127*AP127</f>
        <v>0</v>
      </c>
      <c r="K127" s="29">
        <f>G127*H127</f>
        <v>0</v>
      </c>
      <c r="L127" s="62"/>
      <c r="M127" s="3"/>
      <c r="Z127" s="29">
        <f>IF(AQ127="5",BJ127,0)</f>
        <v>0</v>
      </c>
      <c r="AB127" s="29">
        <f>IF(AQ127="1",BH127,0)</f>
        <v>0</v>
      </c>
      <c r="AC127" s="29">
        <f>IF(AQ127="1",BI127,0)</f>
        <v>0</v>
      </c>
      <c r="AD127" s="29">
        <f>IF(AQ127="7",BH127,0)</f>
        <v>0</v>
      </c>
      <c r="AE127" s="29">
        <f>IF(AQ127="7",BI127,0)</f>
        <v>0</v>
      </c>
      <c r="AF127" s="29">
        <f>IF(AQ127="2",BH127,0)</f>
        <v>0</v>
      </c>
      <c r="AG127" s="29">
        <f>IF(AQ127="2",BI127,0)</f>
        <v>0</v>
      </c>
      <c r="AH127" s="29">
        <f>IF(AQ127="0",BJ127,0)</f>
        <v>0</v>
      </c>
      <c r="AI127" s="47"/>
      <c r="AJ127" s="29">
        <f>IF(AN127=0,K127,0)</f>
        <v>0</v>
      </c>
      <c r="AK127" s="29">
        <f>IF(AN127=15,K127,0)</f>
        <v>0</v>
      </c>
      <c r="AL127" s="29">
        <f>IF(AN127=21,K127,0)</f>
        <v>0</v>
      </c>
      <c r="AN127" s="29">
        <v>15</v>
      </c>
      <c r="AO127" s="29">
        <f>H127*0</f>
        <v>0</v>
      </c>
      <c r="AP127" s="29">
        <f>H127*(1-0)</f>
        <v>0</v>
      </c>
      <c r="AQ127" s="63" t="s">
        <v>146</v>
      </c>
      <c r="AV127" s="29">
        <f>AW127+AX127</f>
        <v>0</v>
      </c>
      <c r="AW127" s="29">
        <f>G127*AO127</f>
        <v>0</v>
      </c>
      <c r="AX127" s="29">
        <f>G127*AP127</f>
        <v>0</v>
      </c>
      <c r="AY127" s="63" t="s">
        <v>442</v>
      </c>
      <c r="AZ127" s="63" t="s">
        <v>383</v>
      </c>
      <c r="BA127" s="47" t="s">
        <v>135</v>
      </c>
      <c r="BC127" s="29">
        <f>AW127+AX127</f>
        <v>0</v>
      </c>
      <c r="BD127" s="29">
        <f>H127/(100-BE127)*100</f>
        <v>0</v>
      </c>
      <c r="BE127" s="29">
        <v>0</v>
      </c>
      <c r="BF127" s="29">
        <f>127</f>
        <v>127</v>
      </c>
      <c r="BH127" s="29">
        <f>G127*AO127</f>
        <v>0</v>
      </c>
      <c r="BI127" s="29">
        <f>G127*AP127</f>
        <v>0</v>
      </c>
      <c r="BJ127" s="29">
        <f>G127*H127</f>
        <v>0</v>
      </c>
      <c r="BK127" s="29" t="s">
        <v>136</v>
      </c>
      <c r="BL127" s="29" t="s">
        <v>81</v>
      </c>
    </row>
    <row r="128" spans="1:64" ht="12.75">
      <c r="A128" s="30" t="s">
        <v>446</v>
      </c>
      <c r="B128" s="4" t="s">
        <v>447</v>
      </c>
      <c r="C128" s="87" t="s">
        <v>448</v>
      </c>
      <c r="D128" s="87"/>
      <c r="E128" s="87"/>
      <c r="F128" s="4" t="s">
        <v>187</v>
      </c>
      <c r="G128" s="29">
        <v>1</v>
      </c>
      <c r="H128" s="29">
        <v>0</v>
      </c>
      <c r="I128" s="29">
        <f>G128*AO128</f>
        <v>0</v>
      </c>
      <c r="J128" s="29">
        <f>G128*AP128</f>
        <v>0</v>
      </c>
      <c r="K128" s="29">
        <f>G128*H128</f>
        <v>0</v>
      </c>
      <c r="L128" s="62"/>
      <c r="M128" s="3"/>
      <c r="Z128" s="29">
        <f>IF(AQ128="5",BJ128,0)</f>
        <v>0</v>
      </c>
      <c r="AB128" s="29">
        <f>IF(AQ128="1",BH128,0)</f>
        <v>0</v>
      </c>
      <c r="AC128" s="29">
        <f>IF(AQ128="1",BI128,0)</f>
        <v>0</v>
      </c>
      <c r="AD128" s="29">
        <f>IF(AQ128="7",BH128,0)</f>
        <v>0</v>
      </c>
      <c r="AE128" s="29">
        <f>IF(AQ128="7",BI128,0)</f>
        <v>0</v>
      </c>
      <c r="AF128" s="29">
        <f>IF(AQ128="2",BH128,0)</f>
        <v>0</v>
      </c>
      <c r="AG128" s="29">
        <f>IF(AQ128="2",BI128,0)</f>
        <v>0</v>
      </c>
      <c r="AH128" s="29">
        <f>IF(AQ128="0",BJ128,0)</f>
        <v>0</v>
      </c>
      <c r="AI128" s="47"/>
      <c r="AJ128" s="29">
        <f>IF(AN128=0,K128,0)</f>
        <v>0</v>
      </c>
      <c r="AK128" s="29">
        <f>IF(AN128=15,K128,0)</f>
        <v>0</v>
      </c>
      <c r="AL128" s="29">
        <f>IF(AN128=21,K128,0)</f>
        <v>0</v>
      </c>
      <c r="AN128" s="29">
        <v>15</v>
      </c>
      <c r="AO128" s="29">
        <f>H128*0</f>
        <v>0</v>
      </c>
      <c r="AP128" s="29">
        <f>H128*(1-0)</f>
        <v>0</v>
      </c>
      <c r="AQ128" s="63" t="s">
        <v>146</v>
      </c>
      <c r="AV128" s="29">
        <f>AW128+AX128</f>
        <v>0</v>
      </c>
      <c r="AW128" s="29">
        <f>G128*AO128</f>
        <v>0</v>
      </c>
      <c r="AX128" s="29">
        <f>G128*AP128</f>
        <v>0</v>
      </c>
      <c r="AY128" s="63" t="s">
        <v>442</v>
      </c>
      <c r="AZ128" s="63" t="s">
        <v>383</v>
      </c>
      <c r="BA128" s="47" t="s">
        <v>135</v>
      </c>
      <c r="BC128" s="29">
        <f>AW128+AX128</f>
        <v>0</v>
      </c>
      <c r="BD128" s="29">
        <f>H128/(100-BE128)*100</f>
        <v>0</v>
      </c>
      <c r="BE128" s="29">
        <v>0</v>
      </c>
      <c r="BF128" s="29">
        <f>128</f>
        <v>128</v>
      </c>
      <c r="BH128" s="29">
        <f>G128*AO128</f>
        <v>0</v>
      </c>
      <c r="BI128" s="29">
        <f>G128*AP128</f>
        <v>0</v>
      </c>
      <c r="BJ128" s="29">
        <f>G128*H128</f>
        <v>0</v>
      </c>
      <c r="BK128" s="29" t="s">
        <v>136</v>
      </c>
      <c r="BL128" s="29" t="s">
        <v>81</v>
      </c>
    </row>
    <row r="129" spans="1:64" ht="12.75">
      <c r="A129" s="68" t="s">
        <v>11</v>
      </c>
      <c r="B129" s="5" t="s">
        <v>449</v>
      </c>
      <c r="C129" s="84" t="s">
        <v>450</v>
      </c>
      <c r="D129" s="84"/>
      <c r="E129" s="84"/>
      <c r="F129" s="5" t="s">
        <v>187</v>
      </c>
      <c r="G129" s="69">
        <v>0.84</v>
      </c>
      <c r="H129" s="69">
        <v>0</v>
      </c>
      <c r="I129" s="69">
        <f>G129*AO129</f>
        <v>0</v>
      </c>
      <c r="J129" s="69">
        <f>G129*AP129</f>
        <v>0</v>
      </c>
      <c r="K129" s="69">
        <f>G129*H129</f>
        <v>0</v>
      </c>
      <c r="L129" s="70"/>
      <c r="M129" s="3"/>
      <c r="Z129" s="29">
        <f>IF(AQ129="5",BJ129,0)</f>
        <v>0</v>
      </c>
      <c r="AB129" s="29">
        <f>IF(AQ129="1",BH129,0)</f>
        <v>0</v>
      </c>
      <c r="AC129" s="29">
        <f>IF(AQ129="1",BI129,0)</f>
        <v>0</v>
      </c>
      <c r="AD129" s="29">
        <f>IF(AQ129="7",BH129,0)</f>
        <v>0</v>
      </c>
      <c r="AE129" s="29">
        <f>IF(AQ129="7",BI129,0)</f>
        <v>0</v>
      </c>
      <c r="AF129" s="29">
        <f>IF(AQ129="2",BH129,0)</f>
        <v>0</v>
      </c>
      <c r="AG129" s="29">
        <f>IF(AQ129="2",BI129,0)</f>
        <v>0</v>
      </c>
      <c r="AH129" s="29">
        <f>IF(AQ129="0",BJ129,0)</f>
        <v>0</v>
      </c>
      <c r="AI129" s="47"/>
      <c r="AJ129" s="29">
        <f>IF(AN129=0,K129,0)</f>
        <v>0</v>
      </c>
      <c r="AK129" s="29">
        <f>IF(AN129=15,K129,0)</f>
        <v>0</v>
      </c>
      <c r="AL129" s="29">
        <f>IF(AN129=21,K129,0)</f>
        <v>0</v>
      </c>
      <c r="AN129" s="29">
        <v>15</v>
      </c>
      <c r="AO129" s="29">
        <f>H129*0</f>
        <v>0</v>
      </c>
      <c r="AP129" s="29">
        <f>H129*(1-0)</f>
        <v>0</v>
      </c>
      <c r="AQ129" s="63" t="s">
        <v>146</v>
      </c>
      <c r="AV129" s="29">
        <f>AW129+AX129</f>
        <v>0</v>
      </c>
      <c r="AW129" s="29">
        <f>G129*AO129</f>
        <v>0</v>
      </c>
      <c r="AX129" s="29">
        <f>G129*AP129</f>
        <v>0</v>
      </c>
      <c r="AY129" s="63" t="s">
        <v>442</v>
      </c>
      <c r="AZ129" s="63" t="s">
        <v>383</v>
      </c>
      <c r="BA129" s="47" t="s">
        <v>135</v>
      </c>
      <c r="BC129" s="29">
        <f>AW129+AX129</f>
        <v>0</v>
      </c>
      <c r="BD129" s="29">
        <f>H129/(100-BE129)*100</f>
        <v>0</v>
      </c>
      <c r="BE129" s="29">
        <v>0</v>
      </c>
      <c r="BF129" s="29">
        <f>129</f>
        <v>129</v>
      </c>
      <c r="BH129" s="29">
        <f>G129*AO129</f>
        <v>0</v>
      </c>
      <c r="BI129" s="29">
        <f>G129*AP129</f>
        <v>0</v>
      </c>
      <c r="BJ129" s="29">
        <f>G129*H129</f>
        <v>0</v>
      </c>
      <c r="BK129" s="29" t="s">
        <v>136</v>
      </c>
      <c r="BL129" s="29" t="s">
        <v>81</v>
      </c>
    </row>
    <row r="130" spans="1:12" ht="12.75">
      <c r="A130" s="12"/>
      <c r="B130" s="12"/>
      <c r="C130" s="12"/>
      <c r="D130" s="12"/>
      <c r="E130" s="12"/>
      <c r="F130" s="12"/>
      <c r="G130" s="12"/>
      <c r="H130" s="12"/>
      <c r="I130" s="110" t="s">
        <v>83</v>
      </c>
      <c r="J130" s="110"/>
      <c r="K130" s="71">
        <f>ROUND(K12+K31+K57+K59+K78+K101+K113+K125,1)</f>
        <v>0</v>
      </c>
      <c r="L130" s="12"/>
    </row>
    <row r="131" ht="11.25" customHeight="1">
      <c r="A131" s="72" t="s">
        <v>56</v>
      </c>
    </row>
    <row r="132" spans="1:12" ht="25.5" customHeight="1">
      <c r="A132" s="73" t="s">
        <v>57</v>
      </c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</row>
  </sheetData>
  <sheetProtection selectLockedCells="1" selectUnlockedCells="1"/>
  <mergeCells count="148">
    <mergeCell ref="A1:L1"/>
    <mergeCell ref="A2:B3"/>
    <mergeCell ref="C2:C3"/>
    <mergeCell ref="D2:E3"/>
    <mergeCell ref="F2:G3"/>
    <mergeCell ref="H2:H3"/>
    <mergeCell ref="I2:L3"/>
    <mergeCell ref="A4:B5"/>
    <mergeCell ref="C4:C5"/>
    <mergeCell ref="D4:E5"/>
    <mergeCell ref="F4:G5"/>
    <mergeCell ref="H4:H5"/>
    <mergeCell ref="I4:L5"/>
    <mergeCell ref="A6:B7"/>
    <mergeCell ref="C6:C7"/>
    <mergeCell ref="D6:E7"/>
    <mergeCell ref="F6:G7"/>
    <mergeCell ref="H6:H7"/>
    <mergeCell ref="I6:L7"/>
    <mergeCell ref="A8:B9"/>
    <mergeCell ref="C8:C9"/>
    <mergeCell ref="D8:E9"/>
    <mergeCell ref="F8:G9"/>
    <mergeCell ref="H8:H9"/>
    <mergeCell ref="I8:L9"/>
    <mergeCell ref="C10:E10"/>
    <mergeCell ref="I10:K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98:E98"/>
    <mergeCell ref="C99:E99"/>
    <mergeCell ref="C100:E100"/>
    <mergeCell ref="C101:E101"/>
    <mergeCell ref="C102:E102"/>
    <mergeCell ref="C103:E103"/>
    <mergeCell ref="C104:E104"/>
    <mergeCell ref="C105:E105"/>
    <mergeCell ref="C106:E106"/>
    <mergeCell ref="C107:E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22:E122"/>
    <mergeCell ref="C129:E129"/>
    <mergeCell ref="I130:J130"/>
    <mergeCell ref="A132:L132"/>
    <mergeCell ref="C123:E123"/>
    <mergeCell ref="C124:E124"/>
    <mergeCell ref="C125:E125"/>
    <mergeCell ref="C126:E126"/>
    <mergeCell ref="C127:E127"/>
    <mergeCell ref="C128:E128"/>
  </mergeCells>
  <printOptions/>
  <pageMargins left="0.39375" right="0.39375" top="0.5909722222222222" bottom="0.5909722222222222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Mońská Naděžda</dc:creator>
  <cp:keywords/>
  <dc:description/>
  <cp:lastModifiedBy>Mońská Naděžda</cp:lastModifiedBy>
  <dcterms:created xsi:type="dcterms:W3CDTF">2022-07-21T12:10:39Z</dcterms:created>
  <dcterms:modified xsi:type="dcterms:W3CDTF">2022-09-13T06:23:06Z</dcterms:modified>
  <cp:category/>
  <cp:version/>
  <cp:contentType/>
  <cp:contentStatus/>
</cp:coreProperties>
</file>