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1"/>
  </bookViews>
  <sheets>
    <sheet name="KrycíList" sheetId="1" r:id="rId1"/>
    <sheet name="Rozpočet" sheetId="2" r:id="rId2"/>
  </sheets>
  <definedNames>
    <definedName name="__MAIN__">'Rozpočet'!$A$2:$AB$47</definedName>
    <definedName name="__MAIN1__">'KrycíList'!$A$1:$O$50</definedName>
    <definedName name="__MvymF__">'Rozpočet'!$A$13:$AB$13</definedName>
    <definedName name="__OobjF__">'Rozpočet'!$A$8:$AB$47</definedName>
    <definedName name="__OoddF__">'Rozpočet'!$A$10:$AB$22</definedName>
    <definedName name="__OradF__">'Rozpočet'!$A$12:$AB$13</definedName>
    <definedName name="Excel_BuiltIn_Print_Titles_2_1">'Rozpočet'!$2:$5</definedName>
    <definedName name="_xlnm.Print_Titles" localSheetId="1">'Rozpočet'!$2:$8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9" authorId="0">
      <text>
        <r>
          <rPr>
            <sz val="10"/>
            <rFont val="Arial"/>
            <family val="2"/>
          </rPr>
          <t>Rozpočet vychází z textových a výkresových částí dokumentace.
Cenová soustava : ÚRS Praha 2017
Cenové a technické podmínky katalogů jsou přístupné na stránce www.cs-urs.cz.
Výměry, pokud není výpočet uveden, odečtením křivek CAD v projektové dokumentaci.</t>
        </r>
      </text>
    </comment>
  </commentList>
</comments>
</file>

<file path=xl/sharedStrings.xml><?xml version="1.0" encoding="utf-8"?>
<sst xmlns="http://schemas.openxmlformats.org/spreadsheetml/2006/main" count="202" uniqueCount="149">
  <si>
    <t>Krycí list zadání</t>
  </si>
  <si>
    <t>Zakázka :</t>
  </si>
  <si>
    <t>Přeshraniční ekomuzeum - prostranství Permon v Karviné</t>
  </si>
  <si>
    <t>Část :</t>
  </si>
  <si>
    <t>SO 05 - Mobiliář</t>
  </si>
  <si>
    <t>Faktura :</t>
  </si>
  <si>
    <t>Zakázka číslo :</t>
  </si>
  <si>
    <t>MOJ18053</t>
  </si>
  <si>
    <t>Umístění :</t>
  </si>
  <si>
    <t>Město Karviná, Karviná - Hranice</t>
  </si>
  <si>
    <t>Stavební objekt číslo :</t>
  </si>
  <si>
    <t>Investor :</t>
  </si>
  <si>
    <t>Statutární město Karviná</t>
  </si>
  <si>
    <t>Rozpočet číslo :</t>
  </si>
  <si>
    <t>c:\RozpUser\Václav.usr\Archiv;MOJ18053;Přeshraniční ekomuzeum - prostranství Permon v Karviné</t>
  </si>
  <si>
    <t>Objednal :</t>
  </si>
  <si>
    <t>Dodatek číslo :</t>
  </si>
  <si>
    <t>Projektant :</t>
  </si>
  <si>
    <t>Ateliér GENIUS LOCI</t>
  </si>
  <si>
    <t>Archivní číslo :</t>
  </si>
  <si>
    <t>Zpracoval :</t>
  </si>
  <si>
    <t>Ing. Václav Mojžíšek</t>
  </si>
  <si>
    <t>Datum :</t>
  </si>
  <si>
    <t>25/05/2018</t>
  </si>
  <si>
    <t>Soupis prací vychází z textových a výkresových částí dokumentace.</t>
  </si>
  <si>
    <t>Cenová soustava :</t>
  </si>
  <si>
    <t>ÚRS Praha</t>
  </si>
  <si>
    <t>Soubor :</t>
  </si>
  <si>
    <r>
      <t xml:space="preserve">Cenové a technické podmínky katalogů jsou přístupné na stránce </t>
    </r>
    <r>
      <rPr>
        <sz val="10"/>
        <color indexed="12"/>
        <rFont val="Arial"/>
        <family val="2"/>
      </rPr>
      <t>www.cs-urs.cz</t>
    </r>
    <r>
      <rPr>
        <sz val="10"/>
        <rFont val="Arial"/>
        <family val="2"/>
      </rPr>
      <t>.</t>
    </r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</si>
  <si>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</si>
  <si>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</si>
  <si>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</si>
  <si>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</si>
  <si>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</si>
  <si>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</si>
  <si>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</si>
  <si>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</si>
  <si>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</si>
  <si>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</si>
  <si>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</si>
  <si>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</si>
  <si>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</si>
  <si>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</si>
  <si>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</si>
  <si>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</si>
  <si>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</si>
  <si>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</si>
  <si>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</si>
  <si>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</si>
  <si>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</si>
  <si>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</si>
  <si>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</si>
  <si>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</si>
  <si>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</si>
  <si>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</si>
  <si>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</si>
  <si>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</si>
  <si>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</si>
  <si>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</si>
  <si>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</si>
  <si>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</si>
  <si>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</si>
  <si>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</si>
  <si>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</si>
  <si>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</si>
  <si>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</si>
  <si>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</si>
  <si>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</si>
  <si>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</si>
  <si>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</si>
  <si>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</si>
  <si>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</si>
  <si>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</si>
  <si>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</si>
  <si>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</si>
  <si>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</si>
  <si>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</si>
  <si>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</si>
  <si>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Soupis prací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</si>
  <si>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</si>
  <si>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</si>
  <si>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</si>
  <si>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</si>
  <si>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</si>
  <si>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</si>
  <si>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</si>
  <si>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</si>
  <si>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</si>
  <si>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</si>
  <si>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</si>
  <si>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</si>
  <si>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</si>
  <si>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O</t>
  </si>
  <si>
    <t>zemní práce</t>
  </si>
  <si>
    <t>Seznam položek pro oddíl :</t>
  </si>
  <si>
    <t>P</t>
  </si>
  <si>
    <t>131203101</t>
  </si>
  <si>
    <t>Hloubení jam ručním nebo pneum nářadím v soudržných horninách tř. 3</t>
  </si>
  <si>
    <t>m3</t>
  </si>
  <si>
    <t>"Lavička"8*2*0,4*0,4*0,4</t>
  </si>
  <si>
    <t>"Odpadkový koš"6*3,14*0,175*0,175*0,3</t>
  </si>
  <si>
    <t>"Zahrazovací sloupek"2*3,14*0,175*0,175*0,4</t>
  </si>
  <si>
    <t>131203109</t>
  </si>
  <si>
    <t>Příplatek za lepivost u hloubení jam ručním nebo pneum nářadím v hornině tř. 3</t>
  </si>
  <si>
    <t>50 %</t>
  </si>
  <si>
    <t>1,274*0,5</t>
  </si>
  <si>
    <t>162201211</t>
  </si>
  <si>
    <t>Vod. přemístění výkopku stav.kolečkem do 10 m</t>
  </si>
  <si>
    <t>zemina bude využita pro TÚ a sadové úpravy</t>
  </si>
  <si>
    <t>162201219</t>
  </si>
  <si>
    <t>Příplatek za každých dalších 10 m do 50 m</t>
  </si>
  <si>
    <t>1,274*4</t>
  </si>
  <si>
    <t>002</t>
  </si>
  <si>
    <t>zakládání objektů</t>
  </si>
  <si>
    <t>275313511</t>
  </si>
  <si>
    <t>Základové patky z betonu tř. C 12/15</t>
  </si>
  <si>
    <t>275351215</t>
  </si>
  <si>
    <t>Zřízení bednění stěn základových patek</t>
  </si>
  <si>
    <t>m2</t>
  </si>
  <si>
    <t>"Lavička"8*2*4*0,4*0,4</t>
  </si>
  <si>
    <t>"Odpadkový koš"6*2*3,14*0,175*0,3</t>
  </si>
  <si>
    <t>"Zahrazovací sloupek"2*2*3,14*0,175*0,4</t>
  </si>
  <si>
    <t>275351216</t>
  </si>
  <si>
    <t>Odstranění bednění stěn základových patek</t>
  </si>
  <si>
    <t>091</t>
  </si>
  <si>
    <t>mobiliář</t>
  </si>
  <si>
    <t>kus</t>
  </si>
  <si>
    <t>091R05</t>
  </si>
  <si>
    <t>091R06</t>
  </si>
  <si>
    <t>936124112</t>
  </si>
  <si>
    <t>Montáž  lavičky stabilní parkové se zabetonováním noh</t>
  </si>
  <si>
    <t>S</t>
  </si>
  <si>
    <t>Dodávka lavička</t>
  </si>
  <si>
    <t>Délka lavičky 1800 mm.Lavička s opěradlem na centrální noze sním područkami na jednotlivé sedáky. Ocelová
konstrukce je spojena s deskami pomocí šroubových spojů z nerezu. Ocelová konstrukce bočnic a středních
područek je opatřena ochrannou vrstvou zinku a práškovým vypalovacím lakem v odstinu RAL 7016 antracit.
Nosná kostra je tvořena ocelovými profily 50x70 mm a výztuhy sedáku z ocelových jaklů 20x20 mm. Sedák
je tvořen dřevěnými deskami z borového dřeva odélníkového průřezu (110x33 mm) délky 1718 mm, opěradlo
délky 1800 mm. Dřevěné části sedátka budou opatřeny lazurou v odstínu country brown - 3x lazura.
Kotvení do bet. základu pomocí závitových tyčí M8.</t>
  </si>
  <si>
    <t>936104211</t>
  </si>
  <si>
    <t>Montáž odpadkového koše do betonové patky</t>
  </si>
  <si>
    <t>Dodávka odpadkový koš - nerez</t>
  </si>
  <si>
    <t>Objem 45 l, průměr 390 mm, výška 940 mm, barva tmavě šedá. Ocelová konstrukce s panely z drážkovaného 
nerezového plechu. Ocelová konstrukce bude opatřena ochrannou vrstvou zinku a práškovým vypalovacím lakem 
v odstínu RAL 7016 antracit. Nosnou konstrukci tvoří svařenec z výpalků z ocelového plechutl. 5 mm.
Opláštění je tvořeno 3 panely z drážkovaného plechu tl. 1,5 mm. Vnitřní nádoba je z ohýbaného pozinkovaného
plechu tl. 0,8 mm. Stříška je svařenerc z výpalků z ocelového plechu tl. 4 a 5 mm. kotvení do bet. základu
pomocí závitových tyčí M12.</t>
  </si>
  <si>
    <t>912111111</t>
  </si>
  <si>
    <t>Montáž zábrany parkovací sloupku zabetonovaného</t>
  </si>
  <si>
    <t>091R07</t>
  </si>
  <si>
    <t>Dodávka zahrazovací sloupek</t>
  </si>
  <si>
    <t>Odlitek ze slitiny hliníku kónického tvaru s kruhovým zakončením na hlavě sloupku, s přivařenou patkou tl. 12 mm.
Celková výška sloupku 952 mm. Sloupek bude opatřen práškovým vypalovacím lkem v odstínu RAL 7016 antracit.
Kotvení do bet. základu pomocí závitových tyčí M12.</t>
  </si>
  <si>
    <t>099</t>
  </si>
  <si>
    <t>přesun hmot</t>
  </si>
  <si>
    <t>U</t>
  </si>
  <si>
    <t>998232111</t>
  </si>
  <si>
    <t>Přesun hmot</t>
  </si>
  <si>
    <t>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</si>
</sst>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7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i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16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168" fontId="20" fillId="33" borderId="0" xfId="0" applyNumberFormat="1" applyFont="1" applyFill="1" applyBorder="1" applyAlignment="1">
      <alignment/>
    </xf>
    <xf numFmtId="168" fontId="22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3" fillId="33" borderId="0" xfId="0" applyNumberFormat="1" applyFont="1" applyFill="1" applyBorder="1" applyAlignment="1">
      <alignment/>
    </xf>
    <xf numFmtId="4" fontId="23" fillId="33" borderId="0" xfId="0" applyNumberFormat="1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4" fillId="34" borderId="15" xfId="0" applyNumberFormat="1" applyFont="1" applyFill="1" applyBorder="1" applyAlignment="1">
      <alignment horizontal="left"/>
    </xf>
    <xf numFmtId="0" fontId="25" fillId="34" borderId="15" xfId="0" applyFont="1" applyFill="1" applyBorder="1" applyAlignment="1">
      <alignment horizontal="center"/>
    </xf>
    <xf numFmtId="170" fontId="26" fillId="34" borderId="15" xfId="0" applyNumberFormat="1" applyFont="1" applyFill="1" applyBorder="1" applyAlignment="1">
      <alignment horizontal="center"/>
    </xf>
    <xf numFmtId="4" fontId="26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vertical="center"/>
    </xf>
    <xf numFmtId="0" fontId="17" fillId="34" borderId="17" xfId="0" applyFont="1" applyFill="1" applyBorder="1" applyAlignment="1">
      <alignment horizontal="center" vertical="center" wrapText="1"/>
    </xf>
    <xf numFmtId="4" fontId="17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4" fillId="33" borderId="17" xfId="0" applyNumberFormat="1" applyFont="1" applyFill="1" applyBorder="1" applyAlignment="1">
      <alignment horizontal="center"/>
    </xf>
    <xf numFmtId="168" fontId="27" fillId="33" borderId="17" xfId="0" applyNumberFormat="1" applyFont="1" applyFill="1" applyBorder="1" applyAlignment="1">
      <alignment/>
    </xf>
    <xf numFmtId="0" fontId="25" fillId="33" borderId="17" xfId="0" applyFont="1" applyFill="1" applyBorder="1" applyAlignment="1">
      <alignment/>
    </xf>
    <xf numFmtId="170" fontId="14" fillId="36" borderId="17" xfId="0" applyNumberFormat="1" applyFont="1" applyFill="1" applyBorder="1" applyAlignment="1">
      <alignment/>
    </xf>
    <xf numFmtId="4" fontId="14" fillId="36" borderId="17" xfId="0" applyNumberFormat="1" applyFont="1" applyFill="1" applyBorder="1" applyAlignment="1">
      <alignment/>
    </xf>
    <xf numFmtId="4" fontId="14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right" vertical="top"/>
    </xf>
    <xf numFmtId="0" fontId="28" fillId="36" borderId="17" xfId="0" applyFont="1" applyFill="1" applyBorder="1" applyAlignment="1">
      <alignment vertical="top"/>
    </xf>
    <xf numFmtId="0" fontId="14" fillId="36" borderId="17" xfId="0" applyFont="1" applyFill="1" applyBorder="1" applyAlignment="1">
      <alignment horizontal="center" vertical="top"/>
    </xf>
    <xf numFmtId="0" fontId="14" fillId="36" borderId="17" xfId="0" applyFont="1" applyFill="1" applyBorder="1" applyAlignment="1">
      <alignment vertical="top"/>
    </xf>
    <xf numFmtId="0" fontId="14" fillId="36" borderId="17" xfId="0" applyFont="1" applyFill="1" applyBorder="1" applyAlignment="1">
      <alignment vertical="top" wrapText="1"/>
    </xf>
    <xf numFmtId="170" fontId="14" fillId="36" borderId="17" xfId="0" applyNumberFormat="1" applyFont="1" applyFill="1" applyBorder="1" applyAlignment="1">
      <alignment vertical="top"/>
    </xf>
    <xf numFmtId="4" fontId="14" fillId="36" borderId="17" xfId="0" applyNumberFormat="1" applyFont="1" applyFill="1" applyBorder="1" applyAlignment="1">
      <alignment vertical="top"/>
    </xf>
    <xf numFmtId="169" fontId="14" fillId="36" borderId="17" xfId="0" applyNumberFormat="1" applyFont="1" applyFill="1" applyBorder="1" applyAlignment="1">
      <alignment vertical="top"/>
    </xf>
    <xf numFmtId="4" fontId="14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7" borderId="17" xfId="0" applyFont="1" applyFill="1" applyBorder="1" applyAlignment="1">
      <alignment horizontal="right" vertical="top"/>
    </xf>
    <xf numFmtId="0" fontId="14" fillId="37" borderId="17" xfId="0" applyFont="1" applyFill="1" applyBorder="1" applyAlignment="1">
      <alignment horizontal="center" vertical="top"/>
    </xf>
    <xf numFmtId="0" fontId="14" fillId="37" borderId="17" xfId="0" applyFont="1" applyFill="1" applyBorder="1" applyAlignment="1">
      <alignment vertical="top"/>
    </xf>
    <xf numFmtId="0" fontId="14" fillId="37" borderId="17" xfId="0" applyFont="1" applyFill="1" applyBorder="1" applyAlignment="1">
      <alignment vertical="top" wrapText="1"/>
    </xf>
    <xf numFmtId="164" fontId="14" fillId="37" borderId="17" xfId="0" applyNumberFormat="1" applyFont="1" applyFill="1" applyBorder="1" applyAlignment="1">
      <alignment vertical="top"/>
    </xf>
    <xf numFmtId="4" fontId="14" fillId="37" borderId="17" xfId="0" applyNumberFormat="1" applyFont="1" applyFill="1" applyBorder="1" applyAlignment="1">
      <alignment vertical="top"/>
    </xf>
    <xf numFmtId="169" fontId="14" fillId="37" borderId="17" xfId="0" applyNumberFormat="1" applyFont="1" applyFill="1" applyBorder="1" applyAlignment="1">
      <alignment vertical="top"/>
    </xf>
    <xf numFmtId="4" fontId="14" fillId="37" borderId="17" xfId="0" applyNumberFormat="1" applyFont="1" applyFill="1" applyBorder="1" applyAlignment="1">
      <alignment horizontal="right"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30" fillId="33" borderId="0" xfId="0" applyFont="1" applyFill="1" applyBorder="1" applyAlignment="1">
      <alignment/>
    </xf>
    <xf numFmtId="169" fontId="30" fillId="33" borderId="0" xfId="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 horizontal="center"/>
    </xf>
    <xf numFmtId="4" fontId="30" fillId="33" borderId="0" xfId="0" applyNumberFormat="1" applyFont="1" applyFill="1" applyBorder="1" applyAlignment="1">
      <alignment/>
    </xf>
    <xf numFmtId="0" fontId="30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vertical="top"/>
    </xf>
    <xf numFmtId="0" fontId="31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horizontal="center" vertical="top"/>
    </xf>
    <xf numFmtId="4" fontId="17" fillId="33" borderId="0" xfId="0" applyNumberFormat="1" applyFont="1" applyFill="1" applyBorder="1" applyAlignment="1">
      <alignment vertical="top"/>
    </xf>
    <xf numFmtId="169" fontId="17" fillId="33" borderId="0" xfId="0" applyNumberFormat="1" applyFont="1" applyFill="1" applyBorder="1" applyAlignment="1">
      <alignment vertical="top"/>
    </xf>
    <xf numFmtId="0" fontId="17" fillId="33" borderId="0" xfId="0" applyFont="1" applyFill="1" applyBorder="1" applyAlignment="1">
      <alignment horizontal="right" vertical="top"/>
    </xf>
    <xf numFmtId="0" fontId="17" fillId="0" borderId="0" xfId="0" applyFont="1" applyBorder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167" fontId="14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4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/>
    </xf>
    <xf numFmtId="167" fontId="16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168" fontId="20" fillId="33" borderId="0" xfId="0" applyNumberFormat="1" applyFont="1" applyFill="1" applyBorder="1" applyAlignment="1">
      <alignment horizontal="center"/>
    </xf>
    <xf numFmtId="168" fontId="22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10" sqref="D10:E10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7"/>
    </row>
    <row r="3" spans="1:15" ht="27" customHeight="1">
      <c r="A3" s="6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7"/>
    </row>
    <row r="4" spans="1:15" ht="24" customHeight="1">
      <c r="A4" s="6"/>
      <c r="B4" s="8" t="s">
        <v>1</v>
      </c>
      <c r="C4" s="140" t="s">
        <v>2</v>
      </c>
      <c r="D4" s="140"/>
      <c r="E4" s="140"/>
      <c r="F4" s="140"/>
      <c r="G4" s="140"/>
      <c r="H4" s="140"/>
      <c r="I4" s="9" t="s">
        <v>3</v>
      </c>
      <c r="J4" s="141" t="s">
        <v>4</v>
      </c>
      <c r="K4" s="141"/>
      <c r="L4" s="141"/>
      <c r="M4" s="141"/>
      <c r="N4" s="141"/>
      <c r="O4" s="10"/>
    </row>
    <row r="5" spans="1:15" ht="23.25" customHeight="1">
      <c r="A5" s="6"/>
      <c r="B5" s="11" t="s">
        <v>5</v>
      </c>
      <c r="C5" s="12"/>
      <c r="D5" s="142"/>
      <c r="E5" s="142"/>
      <c r="F5" s="13"/>
      <c r="G5" s="143"/>
      <c r="H5" s="143"/>
      <c r="I5" s="143"/>
      <c r="J5" s="143"/>
      <c r="K5" s="143"/>
      <c r="L5" s="143"/>
      <c r="M5" s="143"/>
      <c r="N5" s="143"/>
      <c r="O5" s="14"/>
    </row>
    <row r="6" spans="1:15" ht="15" customHeight="1">
      <c r="A6" s="6"/>
      <c r="B6" s="144" t="s">
        <v>6</v>
      </c>
      <c r="C6" s="144"/>
      <c r="D6" s="145" t="s">
        <v>7</v>
      </c>
      <c r="E6" s="145"/>
      <c r="F6" s="15" t="s">
        <v>8</v>
      </c>
      <c r="G6" s="144" t="s">
        <v>9</v>
      </c>
      <c r="H6" s="144"/>
      <c r="I6" s="144"/>
      <c r="J6" s="144"/>
      <c r="K6" s="144"/>
      <c r="L6" s="144"/>
      <c r="M6" s="144"/>
      <c r="N6" s="144"/>
      <c r="O6" s="14"/>
    </row>
    <row r="7" spans="1:15" ht="15" customHeight="1">
      <c r="A7" s="6"/>
      <c r="B7" s="144" t="s">
        <v>10</v>
      </c>
      <c r="C7" s="144"/>
      <c r="D7" s="145"/>
      <c r="E7" s="145"/>
      <c r="F7" s="15" t="s">
        <v>11</v>
      </c>
      <c r="G7" s="144" t="s">
        <v>12</v>
      </c>
      <c r="H7" s="144"/>
      <c r="I7" s="144"/>
      <c r="J7" s="144"/>
      <c r="K7" s="144"/>
      <c r="L7" s="144"/>
      <c r="M7" s="144"/>
      <c r="N7" s="144"/>
      <c r="O7" s="14"/>
    </row>
    <row r="8" spans="1:15" ht="15" customHeight="1">
      <c r="A8" s="6"/>
      <c r="B8" s="144" t="s">
        <v>13</v>
      </c>
      <c r="C8" s="144"/>
      <c r="D8" s="145" t="s">
        <v>14</v>
      </c>
      <c r="E8" s="145"/>
      <c r="F8" s="15" t="s">
        <v>15</v>
      </c>
      <c r="G8" s="146"/>
      <c r="H8" s="146"/>
      <c r="I8" s="146"/>
      <c r="J8" s="146"/>
      <c r="K8" s="146"/>
      <c r="L8" s="146"/>
      <c r="M8" s="146"/>
      <c r="N8" s="146"/>
      <c r="O8" s="14"/>
    </row>
    <row r="9" spans="1:15" ht="15" customHeight="1">
      <c r="A9" s="6"/>
      <c r="B9" s="144" t="s">
        <v>16</v>
      </c>
      <c r="C9" s="144"/>
      <c r="D9" s="145"/>
      <c r="E9" s="145"/>
      <c r="F9" s="15" t="s">
        <v>17</v>
      </c>
      <c r="G9" s="146" t="s">
        <v>18</v>
      </c>
      <c r="H9" s="146"/>
      <c r="I9" s="146"/>
      <c r="J9" s="146"/>
      <c r="K9" s="146"/>
      <c r="L9" s="146"/>
      <c r="M9" s="146"/>
      <c r="N9" s="146"/>
      <c r="O9" s="14"/>
    </row>
    <row r="10" spans="1:15" ht="15" customHeight="1">
      <c r="A10" s="6"/>
      <c r="B10" s="144" t="s">
        <v>19</v>
      </c>
      <c r="C10" s="144"/>
      <c r="D10" s="144"/>
      <c r="E10" s="144"/>
      <c r="F10" s="15" t="s">
        <v>20</v>
      </c>
      <c r="G10" s="146" t="s">
        <v>21</v>
      </c>
      <c r="H10" s="146"/>
      <c r="I10" s="146"/>
      <c r="J10" s="146"/>
      <c r="K10" s="146"/>
      <c r="L10" s="146"/>
      <c r="M10" s="146"/>
      <c r="N10" s="146"/>
      <c r="O10" s="14"/>
    </row>
    <row r="11" spans="1:15" ht="15" customHeight="1">
      <c r="A11" s="6"/>
      <c r="B11" s="144" t="s">
        <v>22</v>
      </c>
      <c r="C11" s="144"/>
      <c r="D11" s="147" t="s">
        <v>23</v>
      </c>
      <c r="E11" s="147"/>
      <c r="F11" s="15"/>
      <c r="G11" s="144" t="s">
        <v>24</v>
      </c>
      <c r="H11" s="144"/>
      <c r="I11" s="144"/>
      <c r="J11" s="144"/>
      <c r="K11" s="144"/>
      <c r="L11" s="144"/>
      <c r="M11" s="144"/>
      <c r="N11" s="144"/>
      <c r="O11" s="14"/>
    </row>
    <row r="12" spans="1:15" ht="15" customHeight="1">
      <c r="A12" s="6"/>
      <c r="B12" s="148" t="s">
        <v>25</v>
      </c>
      <c r="C12" s="148"/>
      <c r="D12" s="148" t="s">
        <v>26</v>
      </c>
      <c r="E12" s="148"/>
      <c r="F12" s="15" t="s">
        <v>27</v>
      </c>
      <c r="G12" s="144" t="s">
        <v>28</v>
      </c>
      <c r="H12" s="144"/>
      <c r="I12" s="144"/>
      <c r="J12" s="144"/>
      <c r="K12" s="144"/>
      <c r="L12" s="144"/>
      <c r="M12" s="144"/>
      <c r="N12" s="144"/>
      <c r="O12" s="14"/>
    </row>
    <row r="13" spans="1:15" ht="15" customHeight="1">
      <c r="A13" s="6"/>
      <c r="B13" s="149" t="s">
        <v>29</v>
      </c>
      <c r="C13" s="149"/>
      <c r="D13" s="149"/>
      <c r="E13" s="149"/>
      <c r="F13" s="149"/>
      <c r="G13" s="150" t="s">
        <v>30</v>
      </c>
      <c r="H13" s="150"/>
      <c r="I13" s="150"/>
      <c r="J13" s="150"/>
      <c r="K13" s="150"/>
      <c r="L13" s="151" t="s">
        <v>31</v>
      </c>
      <c r="M13" s="151"/>
      <c r="N13" s="151"/>
      <c r="O13" s="14"/>
    </row>
    <row r="14" spans="1:15" ht="15" customHeight="1">
      <c r="A14" s="6"/>
      <c r="B14" s="16" t="s">
        <v>32</v>
      </c>
      <c r="C14" s="17" t="s">
        <v>33</v>
      </c>
      <c r="D14" s="17" t="s">
        <v>34</v>
      </c>
      <c r="E14" s="18" t="s">
        <v>35</v>
      </c>
      <c r="F14" s="19" t="s">
        <v>36</v>
      </c>
      <c r="G14" s="152" t="s">
        <v>37</v>
      </c>
      <c r="H14" s="152"/>
      <c r="I14" s="152"/>
      <c r="J14" s="21" t="s">
        <v>38</v>
      </c>
      <c r="K14" s="22" t="s">
        <v>39</v>
      </c>
      <c r="L14" s="14"/>
      <c r="M14" s="3"/>
      <c r="N14" s="3"/>
      <c r="O14" s="14"/>
    </row>
    <row r="15" spans="1:15" ht="15" customHeight="1">
      <c r="A15" s="6"/>
      <c r="B15" s="23" t="s">
        <v>40</v>
      </c>
      <c r="C15" s="24">
        <f>SUMIF(Rozpočet!F9:F48,B15,Rozpočet!L9:L48)</f>
        <v>0</v>
      </c>
      <c r="D15" s="24">
        <f>SUMIF(Rozpočet!F9:F48,B15,Rozpočet!M9:M48)</f>
        <v>0</v>
      </c>
      <c r="E15" s="25">
        <f>SUMIF(Rozpočet!F9:F48,B15,Rozpočet!N9:N48)</f>
        <v>0</v>
      </c>
      <c r="F15" s="26">
        <f>SUMIF(Rozpočet!F9:F48,B15,Rozpočet!O9:O48)</f>
        <v>0</v>
      </c>
      <c r="G15" s="153"/>
      <c r="H15" s="153"/>
      <c r="I15" s="153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41</v>
      </c>
      <c r="C16" s="24">
        <f>SUMIF(Rozpočet!F9:F48,B16,Rozpočet!L9:L48)</f>
        <v>0</v>
      </c>
      <c r="D16" s="24">
        <f>SUMIF(Rozpočet!F9:F48,B16,Rozpočet!M9:M48)</f>
        <v>0</v>
      </c>
      <c r="E16" s="25">
        <f>SUMIF(Rozpočet!F9:F48,B16,Rozpočet!N9:N48)</f>
        <v>0</v>
      </c>
      <c r="F16" s="26">
        <f>SUMIF(Rozpočet!F9:F48,B16,Rozpočet!O9:O48)</f>
        <v>0</v>
      </c>
      <c r="G16" s="153"/>
      <c r="H16" s="153"/>
      <c r="I16" s="153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42</v>
      </c>
      <c r="C17" s="24">
        <f>SUMIF(Rozpočet!F9:F48,B17,Rozpočet!L9:L48)</f>
        <v>0</v>
      </c>
      <c r="D17" s="24">
        <f>SUMIF(Rozpočet!F9:F48,B17,Rozpočet!M9:M48)</f>
        <v>0</v>
      </c>
      <c r="E17" s="25">
        <f>SUMIF(Rozpočet!F9:F48,B17,Rozpočet!N9:N48)</f>
        <v>0</v>
      </c>
      <c r="F17" s="26">
        <f>SUMIF(Rozpočet!F9:F48,B17,Rozpočet!O9:O48)</f>
        <v>0</v>
      </c>
      <c r="G17" s="153"/>
      <c r="H17" s="153"/>
      <c r="I17" s="153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43</v>
      </c>
      <c r="C18" s="24">
        <f>SUMIF(Rozpočet!F9:F48,B18,Rozpočet!L9:L48)</f>
        <v>0</v>
      </c>
      <c r="D18" s="24">
        <f>SUMIF(Rozpočet!F9:F48,B18,Rozpočet!M9:M48)</f>
        <v>0</v>
      </c>
      <c r="E18" s="25">
        <f>SUMIF(Rozpočet!F9:F48,B18,Rozpočet!N9:N48)</f>
        <v>0</v>
      </c>
      <c r="F18" s="26">
        <f>SUMIF(Rozpočet!F9:F48,B18,Rozpočet!O9:O48)</f>
        <v>0</v>
      </c>
      <c r="G18" s="153"/>
      <c r="H18" s="153"/>
      <c r="I18" s="153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44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3"/>
      <c r="H19" s="153"/>
      <c r="I19" s="153"/>
      <c r="J19" s="27"/>
      <c r="K19" s="28"/>
      <c r="L19" s="29" t="s">
        <v>45</v>
      </c>
      <c r="M19" s="3"/>
      <c r="N19" s="3"/>
      <c r="O19" s="14"/>
    </row>
    <row r="20" spans="1:15" ht="15" customHeight="1">
      <c r="A20" s="6"/>
      <c r="B20" s="30" t="s">
        <v>46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3"/>
      <c r="H20" s="153"/>
      <c r="I20" s="153"/>
      <c r="J20" s="27"/>
      <c r="K20" s="28"/>
      <c r="L20" s="14"/>
      <c r="M20" s="34"/>
      <c r="N20" s="34"/>
      <c r="O20" s="14"/>
    </row>
    <row r="21" spans="1:15" ht="15" customHeight="1">
      <c r="A21" s="6"/>
      <c r="B21" s="154" t="s">
        <v>47</v>
      </c>
      <c r="C21" s="154"/>
      <c r="D21" s="154"/>
      <c r="E21" s="155">
        <f>SUM(C20:E20)</f>
        <v>0</v>
      </c>
      <c r="F21" s="155"/>
      <c r="G21" s="153"/>
      <c r="H21" s="153"/>
      <c r="I21" s="153"/>
      <c r="J21" s="27"/>
      <c r="K21" s="28"/>
      <c r="L21" s="151" t="s">
        <v>48</v>
      </c>
      <c r="M21" s="151"/>
      <c r="N21" s="151"/>
      <c r="O21" s="14"/>
    </row>
    <row r="22" spans="1:15" ht="15" customHeight="1">
      <c r="A22" s="6"/>
      <c r="B22" s="156" t="s">
        <v>36</v>
      </c>
      <c r="C22" s="156"/>
      <c r="D22" s="156"/>
      <c r="E22" s="157">
        <f>F20</f>
        <v>0</v>
      </c>
      <c r="F22" s="157"/>
      <c r="G22" s="153"/>
      <c r="H22" s="153"/>
      <c r="I22" s="153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49</v>
      </c>
      <c r="C23" s="158"/>
      <c r="D23" s="158"/>
      <c r="E23" s="159">
        <f>E21+E22</f>
        <v>0</v>
      </c>
      <c r="F23" s="159"/>
      <c r="G23" s="160" t="s">
        <v>50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51" t="s">
        <v>51</v>
      </c>
      <c r="C25" s="151"/>
      <c r="D25" s="151"/>
      <c r="E25" s="151"/>
      <c r="F25" s="151"/>
      <c r="G25" s="162" t="s">
        <v>52</v>
      </c>
      <c r="H25" s="162"/>
      <c r="I25" s="162"/>
      <c r="J25" s="162"/>
      <c r="K25" s="162"/>
      <c r="L25" s="14"/>
      <c r="M25" s="3"/>
      <c r="N25" s="3"/>
      <c r="O25" s="14"/>
    </row>
    <row r="26" spans="1:15" ht="15" customHeight="1">
      <c r="A26" s="6"/>
      <c r="B26" s="30" t="s">
        <v>53</v>
      </c>
      <c r="C26" s="163" t="s">
        <v>54</v>
      </c>
      <c r="D26" s="163"/>
      <c r="E26" s="164" t="s">
        <v>55</v>
      </c>
      <c r="F26" s="164"/>
      <c r="G26" s="20"/>
      <c r="H26" s="152" t="s">
        <v>56</v>
      </c>
      <c r="I26" s="152"/>
      <c r="J26" s="165" t="s">
        <v>55</v>
      </c>
      <c r="K26" s="165"/>
      <c r="L26" s="14"/>
      <c r="M26" s="3"/>
      <c r="N26" s="3"/>
      <c r="O26" s="14"/>
    </row>
    <row r="27" spans="1:15" ht="15" customHeight="1">
      <c r="A27" s="6"/>
      <c r="B27" s="36">
        <v>21</v>
      </c>
      <c r="C27" s="166">
        <f>SUMIF(Rozpočet!S9:S48,B27,Rozpočet!K9:K48)+H27</f>
        <v>0</v>
      </c>
      <c r="D27" s="166"/>
      <c r="E27" s="167">
        <f>C27/100*B27</f>
        <v>0</v>
      </c>
      <c r="F27" s="167"/>
      <c r="G27" s="37"/>
      <c r="H27" s="168">
        <f>SUMIF(K15:K22,B27,J15:J22)</f>
        <v>0</v>
      </c>
      <c r="I27" s="168"/>
      <c r="J27" s="169">
        <f>H27*B27/100</f>
        <v>0</v>
      </c>
      <c r="K27" s="169"/>
      <c r="L27" s="29" t="s">
        <v>45</v>
      </c>
      <c r="M27" s="3"/>
      <c r="N27" s="3"/>
      <c r="O27" s="14"/>
    </row>
    <row r="28" spans="1:15" ht="15" customHeight="1">
      <c r="A28" s="6"/>
      <c r="B28" s="36">
        <v>15</v>
      </c>
      <c r="C28" s="166">
        <f>SUMIF(Rozpočet!S9:S48,B28,Rozpočet!K9:K48)+H28</f>
        <v>0</v>
      </c>
      <c r="D28" s="166"/>
      <c r="E28" s="167">
        <f>C28/100*B28</f>
        <v>0</v>
      </c>
      <c r="F28" s="167"/>
      <c r="G28" s="37"/>
      <c r="H28" s="169">
        <f>SUMIF(K15:K22,B28,J15:J22)</f>
        <v>0</v>
      </c>
      <c r="I28" s="169"/>
      <c r="J28" s="169">
        <f>H28*B28/100</f>
        <v>0</v>
      </c>
      <c r="K28" s="169"/>
      <c r="L28" s="14"/>
      <c r="M28" s="3"/>
      <c r="N28" s="3"/>
      <c r="O28" s="14"/>
    </row>
    <row r="29" spans="1:15" ht="15" customHeight="1">
      <c r="A29" s="6"/>
      <c r="B29" s="36">
        <v>0</v>
      </c>
      <c r="C29" s="166">
        <f>(E23+J23)-(C27+C28)</f>
        <v>0</v>
      </c>
      <c r="D29" s="166"/>
      <c r="E29" s="167">
        <f>C29/100*B29</f>
        <v>0</v>
      </c>
      <c r="F29" s="167"/>
      <c r="G29" s="37"/>
      <c r="H29" s="169">
        <f>J23-(H27+H28)</f>
        <v>0</v>
      </c>
      <c r="I29" s="169"/>
      <c r="J29" s="169">
        <f>H29*B29/100</f>
        <v>0</v>
      </c>
      <c r="K29" s="169"/>
      <c r="L29" s="151" t="s">
        <v>57</v>
      </c>
      <c r="M29" s="151"/>
      <c r="N29" s="151"/>
      <c r="O29" s="14"/>
    </row>
    <row r="30" spans="1:15" ht="15" customHeight="1">
      <c r="A30" s="6"/>
      <c r="B30" s="170"/>
      <c r="C30" s="171">
        <f>ROUNDUP(C27+C28+C29,1)</f>
        <v>0</v>
      </c>
      <c r="D30" s="171"/>
      <c r="E30" s="172">
        <f>ROUNDUP(E27+E28+E29,1)</f>
        <v>0</v>
      </c>
      <c r="F30" s="172"/>
      <c r="G30" s="173"/>
      <c r="H30" s="173"/>
      <c r="I30" s="173"/>
      <c r="J30" s="174">
        <f>J27+J28+J29</f>
        <v>0</v>
      </c>
      <c r="K30" s="174"/>
      <c r="L30" s="14"/>
      <c r="M30" s="3"/>
      <c r="N30" s="3"/>
      <c r="O30" s="14"/>
    </row>
    <row r="31" spans="1:15" ht="15" customHeight="1">
      <c r="A31" s="6"/>
      <c r="B31" s="170"/>
      <c r="C31" s="171"/>
      <c r="D31" s="171"/>
      <c r="E31" s="172"/>
      <c r="F31" s="172"/>
      <c r="G31" s="173"/>
      <c r="H31" s="173"/>
      <c r="I31" s="173"/>
      <c r="J31" s="174"/>
      <c r="K31" s="174"/>
      <c r="L31" s="14"/>
      <c r="M31" s="3"/>
      <c r="N31" s="3"/>
      <c r="O31" s="14"/>
    </row>
    <row r="32" spans="1:15" ht="15" customHeight="1">
      <c r="A32" s="6"/>
      <c r="B32" s="175" t="s">
        <v>58</v>
      </c>
      <c r="C32" s="175"/>
      <c r="D32" s="175"/>
      <c r="E32" s="175"/>
      <c r="F32" s="175"/>
      <c r="G32" s="176" t="s">
        <v>59</v>
      </c>
      <c r="H32" s="176"/>
      <c r="I32" s="176"/>
      <c r="J32" s="176"/>
      <c r="K32" s="176"/>
      <c r="L32" s="3"/>
      <c r="M32" s="3"/>
      <c r="N32" s="3"/>
      <c r="O32" s="14"/>
    </row>
    <row r="33" spans="1:15" ht="15" customHeight="1">
      <c r="A33" s="6"/>
      <c r="B33" s="177">
        <f>C30+E30</f>
        <v>0</v>
      </c>
      <c r="C33" s="177"/>
      <c r="D33" s="177"/>
      <c r="E33" s="177"/>
      <c r="F33" s="177"/>
      <c r="G33" s="178" t="s">
        <v>60</v>
      </c>
      <c r="H33" s="178"/>
      <c r="I33" s="178"/>
      <c r="J33" s="17" t="s">
        <v>61</v>
      </c>
      <c r="K33" s="38" t="s">
        <v>62</v>
      </c>
      <c r="L33" s="3"/>
      <c r="M33" s="3"/>
      <c r="N33" s="3"/>
      <c r="O33" s="14"/>
    </row>
    <row r="34" spans="1:15" ht="15" customHeight="1">
      <c r="A34" s="6"/>
      <c r="B34" s="177"/>
      <c r="C34" s="177"/>
      <c r="D34" s="177"/>
      <c r="E34" s="177"/>
      <c r="F34" s="177"/>
      <c r="G34" s="147"/>
      <c r="H34" s="147"/>
      <c r="I34" s="147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7"/>
      <c r="C35" s="177"/>
      <c r="D35" s="177"/>
      <c r="E35" s="177"/>
      <c r="F35" s="177"/>
      <c r="G35" s="147"/>
      <c r="H35" s="147"/>
      <c r="I35" s="147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7"/>
      <c r="C36" s="177"/>
      <c r="D36" s="177"/>
      <c r="E36" s="177"/>
      <c r="F36" s="177"/>
      <c r="G36" s="147"/>
      <c r="H36" s="147"/>
      <c r="I36" s="147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12.75">
      <c r="A38" s="3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3"/>
    </row>
  </sheetData>
  <sheetProtection selectLockedCells="1" selectUnlockedCells="1"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hyperlinks>
    <hyperlink ref="G12" r:id="rId1" display="www.cs-urs.cz"/>
  </hyperlink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41" sqref="G41"/>
    </sheetView>
  </sheetViews>
  <sheetFormatPr defaultColWidth="11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3" customWidth="1"/>
    <col min="10" max="10" width="11.7109375" style="2" customWidth="1"/>
    <col min="11" max="11" width="15.421875" style="2" customWidth="1"/>
    <col min="12" max="12" width="11.7109375" style="44" customWidth="1"/>
    <col min="13" max="15" width="11.57421875" style="44" customWidth="1"/>
    <col min="16" max="16" width="11.140625" style="45" customWidth="1"/>
    <col min="17" max="18" width="0" style="2" hidden="1" customWidth="1"/>
    <col min="19" max="19" width="11.7109375" style="46" customWidth="1"/>
    <col min="20" max="20" width="0" style="46" hidden="1" customWidth="1"/>
    <col min="21" max="21" width="1.7109375" style="2" customWidth="1"/>
    <col min="22" max="242" width="11.57421875" style="2" customWidth="1"/>
  </cols>
  <sheetData>
    <row r="1" spans="1:256" s="51" customFormat="1" ht="12.75" customHeight="1" hidden="1">
      <c r="A1" s="47" t="s">
        <v>63</v>
      </c>
      <c r="B1" s="48" t="s">
        <v>64</v>
      </c>
      <c r="C1" s="48" t="s">
        <v>65</v>
      </c>
      <c r="D1" s="48" t="s">
        <v>66</v>
      </c>
      <c r="E1" s="48" t="s">
        <v>67</v>
      </c>
      <c r="F1" s="48" t="s">
        <v>68</v>
      </c>
      <c r="G1" s="48" t="s">
        <v>69</v>
      </c>
      <c r="H1" s="48" t="s">
        <v>70</v>
      </c>
      <c r="I1" s="48" t="s">
        <v>71</v>
      </c>
      <c r="J1" s="48" t="s">
        <v>72</v>
      </c>
      <c r="K1" s="48" t="s">
        <v>73</v>
      </c>
      <c r="L1" s="49" t="s">
        <v>33</v>
      </c>
      <c r="M1" s="49" t="s">
        <v>34</v>
      </c>
      <c r="N1" s="49" t="s">
        <v>35</v>
      </c>
      <c r="O1" s="49" t="s">
        <v>36</v>
      </c>
      <c r="P1" s="50" t="s">
        <v>74</v>
      </c>
      <c r="Q1" s="48" t="s">
        <v>75</v>
      </c>
      <c r="R1" s="48" t="s">
        <v>76</v>
      </c>
      <c r="S1" s="48" t="s">
        <v>77</v>
      </c>
      <c r="T1" s="48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80" t="s">
        <v>78</v>
      </c>
      <c r="H2" s="180"/>
      <c r="I2" s="180"/>
      <c r="J2" s="180"/>
      <c r="K2" s="180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1</v>
      </c>
      <c r="C3" s="56"/>
      <c r="D3" s="181" t="str">
        <f>KrycíList!D6</f>
        <v>MOJ18053</v>
      </c>
      <c r="E3" s="181"/>
      <c r="F3" s="181"/>
      <c r="G3" s="57" t="str">
        <f>KrycíList!C4</f>
        <v>Přeshraniční ekomuzeum - prostranství Permon v Karviné</v>
      </c>
      <c r="H3" s="182" t="str">
        <f>KrycíList!J4</f>
        <v>SO 05 - Mobiliář</v>
      </c>
      <c r="I3" s="182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83">
        <f>KrycíList!C5</f>
        <v>0</v>
      </c>
      <c r="E4" s="183"/>
      <c r="F4" s="183"/>
      <c r="G4" s="60">
        <f>KrycíList!G5</f>
        <v>0</v>
      </c>
      <c r="H4" s="184">
        <f>KrycíList!D5</f>
        <v>0</v>
      </c>
      <c r="I4" s="184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 t="str">
        <f>KrycíList!G12</f>
        <v>Cenové a technické podmínky katalogů jsou přístupné na stránce www.cs-urs.cz.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79</v>
      </c>
    </row>
    <row r="6" spans="1:256" s="75" customFormat="1" ht="21.75" customHeight="1">
      <c r="A6" s="70"/>
      <c r="B6" s="71" t="s">
        <v>64</v>
      </c>
      <c r="C6" s="71" t="s">
        <v>65</v>
      </c>
      <c r="D6" s="72" t="s">
        <v>66</v>
      </c>
      <c r="E6" s="71" t="s">
        <v>80</v>
      </c>
      <c r="F6" s="71" t="s">
        <v>68</v>
      </c>
      <c r="G6" s="71" t="s">
        <v>81</v>
      </c>
      <c r="H6" s="71" t="s">
        <v>82</v>
      </c>
      <c r="I6" s="71" t="s">
        <v>71</v>
      </c>
      <c r="J6" s="71" t="s">
        <v>83</v>
      </c>
      <c r="K6" s="73" t="s">
        <v>84</v>
      </c>
      <c r="L6" s="74" t="s">
        <v>33</v>
      </c>
      <c r="M6" s="74" t="s">
        <v>34</v>
      </c>
      <c r="N6" s="74" t="s">
        <v>35</v>
      </c>
      <c r="O6" s="74" t="s">
        <v>36</v>
      </c>
      <c r="P6" s="74" t="s">
        <v>85</v>
      </c>
      <c r="Q6" s="74" t="s">
        <v>86</v>
      </c>
      <c r="R6" s="74" t="s">
        <v>87</v>
      </c>
      <c r="S6" s="74" t="s">
        <v>88</v>
      </c>
      <c r="T6" s="74" t="s">
        <v>89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>SUMIF($D9:$D49,"B",K9:K49)</f>
        <v>0</v>
      </c>
      <c r="L7" s="81">
        <f>SUMIF($D9:$D49,"B",L9:L49)</f>
        <v>0</v>
      </c>
      <c r="M7" s="81">
        <f>SUMIF($D9:$D49,"B",M9:M49)</f>
        <v>0</v>
      </c>
      <c r="N7" s="81">
        <f>SUMIF($D9:$D49,"B",N9:N49)</f>
        <v>0</v>
      </c>
      <c r="O7" s="81">
        <f>SUMIF($D9:$D49,"B",O9:O49)</f>
        <v>0</v>
      </c>
      <c r="P7" s="81">
        <f>SUMIF($D9:$D49,"B",P9:P49)</f>
        <v>6.405039937651556</v>
      </c>
      <c r="Q7" s="81">
        <f>SUMIF($D9:$D49,"B",Q9:Q49)</f>
        <v>0</v>
      </c>
      <c r="R7" s="81">
        <f>SUMIF($D9:$D49,"B",R9:R49)</f>
        <v>26.69432700000735</v>
      </c>
      <c r="S7" s="82">
        <f>ROUNDUP(SUMIF($D9:$D49,"B",S9:S49),1)</f>
        <v>0</v>
      </c>
      <c r="T7" s="82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90</v>
      </c>
      <c r="C9" s="85"/>
      <c r="D9" s="86" t="s">
        <v>91</v>
      </c>
      <c r="E9" s="85"/>
      <c r="F9" s="87"/>
      <c r="G9" s="88" t="s">
        <v>4</v>
      </c>
      <c r="H9" s="85"/>
      <c r="I9" s="86"/>
      <c r="J9" s="85"/>
      <c r="K9" s="89">
        <f>SUMIF($D10:$D47,"O",K10:K47)</f>
        <v>0</v>
      </c>
      <c r="L9" s="90">
        <f>SUMIF($D10:$D47,"O",L10:L47)</f>
        <v>0</v>
      </c>
      <c r="M9" s="90">
        <f>SUMIF($D10:$D47,"O",M10:M47)</f>
        <v>0</v>
      </c>
      <c r="N9" s="90">
        <f>SUMIF($D10:$D47,"O",N10:N47)</f>
        <v>0</v>
      </c>
      <c r="O9" s="90">
        <f>SUMIF($D10:$D47,"O",O10:O47)</f>
        <v>0</v>
      </c>
      <c r="P9" s="91">
        <f>SUMIF($D10:$D47,"O",P10:P47)</f>
        <v>6.405039937651556</v>
      </c>
      <c r="Q9" s="91">
        <f>SUMIF($D10:$D47,"O",Q10:Q47)</f>
        <v>0</v>
      </c>
      <c r="R9" s="91">
        <f>SUMIF($D10:$D47,"O",R10:R47)</f>
        <v>26.69432700000735</v>
      </c>
      <c r="S9" s="92">
        <f>SUMIF($D10:$D47,"O",S10:S47)</f>
        <v>0</v>
      </c>
      <c r="T9" s="92">
        <f>K9+S9</f>
        <v>0</v>
      </c>
      <c r="U9" s="93"/>
    </row>
    <row r="10" spans="1:21" ht="12.75" outlineLevel="1">
      <c r="A10" s="3"/>
      <c r="B10" s="94"/>
      <c r="C10" s="95" t="s">
        <v>90</v>
      </c>
      <c r="D10" s="96" t="s">
        <v>92</v>
      </c>
      <c r="E10" s="97"/>
      <c r="F10" s="97" t="s">
        <v>40</v>
      </c>
      <c r="G10" s="98" t="s">
        <v>93</v>
      </c>
      <c r="H10" s="97"/>
      <c r="I10" s="96"/>
      <c r="J10" s="97"/>
      <c r="K10" s="99">
        <f>SUBTOTAL(9,K11:K22)</f>
        <v>0</v>
      </c>
      <c r="L10" s="100">
        <f>SUBTOTAL(9,L11:L22)</f>
        <v>0</v>
      </c>
      <c r="M10" s="100">
        <f>SUBTOTAL(9,M11:M22)</f>
        <v>0</v>
      </c>
      <c r="N10" s="100">
        <f>SUBTOTAL(9,N11:N22)</f>
        <v>0</v>
      </c>
      <c r="O10" s="100">
        <f>SUBTOTAL(9,O11:O22)</f>
        <v>0</v>
      </c>
      <c r="P10" s="101">
        <f>SUMPRODUCT(P11:P22,H11:H22)</f>
        <v>0</v>
      </c>
      <c r="Q10" s="101">
        <f>SUMPRODUCT(Q11:Q22,H11:H22)</f>
        <v>0</v>
      </c>
      <c r="R10" s="101">
        <f>SUMPRODUCT(R11:R22,H11:H22)</f>
        <v>0.3758300000000927</v>
      </c>
      <c r="S10" s="102">
        <f>SUMPRODUCT(S11:S22,K11:K22)/100</f>
        <v>0</v>
      </c>
      <c r="T10" s="102">
        <f>K10+S10</f>
        <v>0</v>
      </c>
      <c r="U10" s="93"/>
    </row>
    <row r="11" spans="1:21" ht="12.75" outlineLevel="2">
      <c r="A11" s="3"/>
      <c r="B11" s="103"/>
      <c r="C11" s="104"/>
      <c r="D11" s="105"/>
      <c r="E11" s="106" t="s">
        <v>94</v>
      </c>
      <c r="F11" s="107"/>
      <c r="G11" s="108"/>
      <c r="H11" s="107"/>
      <c r="I11" s="105"/>
      <c r="J11" s="107"/>
      <c r="K11" s="109"/>
      <c r="L11" s="110"/>
      <c r="M11" s="110"/>
      <c r="N11" s="110"/>
      <c r="O11" s="110"/>
      <c r="P11" s="111"/>
      <c r="Q11" s="111"/>
      <c r="R11" s="111"/>
      <c r="S11" s="112"/>
      <c r="T11" s="112"/>
      <c r="U11" s="93"/>
    </row>
    <row r="12" spans="1:21" ht="12.75" outlineLevel="2">
      <c r="A12" s="3"/>
      <c r="B12" s="93"/>
      <c r="C12" s="93"/>
      <c r="D12" s="113" t="s">
        <v>95</v>
      </c>
      <c r="E12" s="114">
        <v>1</v>
      </c>
      <c r="F12" s="115" t="s">
        <v>96</v>
      </c>
      <c r="G12" s="116" t="s">
        <v>97</v>
      </c>
      <c r="H12" s="117">
        <v>1.2740225</v>
      </c>
      <c r="I12" s="118" t="s">
        <v>98</v>
      </c>
      <c r="J12" s="119"/>
      <c r="K12" s="120">
        <f>H12*J12</f>
        <v>0</v>
      </c>
      <c r="L12" s="121">
        <f>IF(D12="S",K12,"")</f>
      </c>
      <c r="M12" s="122">
        <f>IF(OR(D12="P",D12="U"),K12,"")</f>
        <v>0</v>
      </c>
      <c r="N12" s="122">
        <f>IF(D12="H",K12,"")</f>
      </c>
      <c r="O12" s="122">
        <f>IF(D12="V",K12,"")</f>
      </c>
      <c r="P12" s="123">
        <v>0</v>
      </c>
      <c r="Q12" s="123">
        <v>0</v>
      </c>
      <c r="R12" s="123">
        <v>0</v>
      </c>
      <c r="S12" s="124">
        <v>21</v>
      </c>
      <c r="T12" s="125">
        <f>K12*(S12+100)/100</f>
        <v>0</v>
      </c>
      <c r="U12" s="126"/>
    </row>
    <row r="13" spans="1:256" s="51" customFormat="1" ht="10.5" customHeight="1" outlineLevel="3">
      <c r="A13" s="42"/>
      <c r="B13" s="127"/>
      <c r="C13" s="127"/>
      <c r="D13" s="127"/>
      <c r="E13" s="127"/>
      <c r="F13" s="127"/>
      <c r="G13" s="127" t="s">
        <v>99</v>
      </c>
      <c r="H13" s="128">
        <v>1.024</v>
      </c>
      <c r="I13" s="129"/>
      <c r="J13" s="127"/>
      <c r="K13" s="127"/>
      <c r="L13" s="130"/>
      <c r="M13" s="130"/>
      <c r="N13" s="130"/>
      <c r="O13" s="130"/>
      <c r="P13" s="130"/>
      <c r="Q13" s="130"/>
      <c r="R13" s="130"/>
      <c r="S13" s="131"/>
      <c r="T13" s="131"/>
      <c r="U13" s="127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1" s="51" customFormat="1" ht="10.5" customHeight="1" outlineLevel="3">
      <c r="A14" s="42"/>
      <c r="B14" s="127"/>
      <c r="C14" s="127"/>
      <c r="D14" s="127"/>
      <c r="E14" s="127"/>
      <c r="F14" s="127"/>
      <c r="G14" s="127" t="s">
        <v>100</v>
      </c>
      <c r="H14" s="128">
        <v>0.1731</v>
      </c>
      <c r="I14" s="129"/>
      <c r="J14" s="127"/>
      <c r="K14" s="127"/>
      <c r="L14" s="130"/>
      <c r="M14" s="130"/>
      <c r="N14" s="130"/>
      <c r="O14" s="130"/>
      <c r="P14" s="130"/>
      <c r="Q14" s="130"/>
      <c r="R14" s="130"/>
      <c r="S14" s="131"/>
      <c r="T14" s="131"/>
      <c r="U14" s="127"/>
    </row>
    <row r="15" spans="1:21" s="51" customFormat="1" ht="10.5" customHeight="1" outlineLevel="3">
      <c r="A15" s="42"/>
      <c r="B15" s="127"/>
      <c r="C15" s="127"/>
      <c r="D15" s="127"/>
      <c r="E15" s="127"/>
      <c r="F15" s="127"/>
      <c r="G15" s="127" t="s">
        <v>101</v>
      </c>
      <c r="H15" s="128">
        <v>0.0769</v>
      </c>
      <c r="I15" s="129"/>
      <c r="J15" s="127"/>
      <c r="K15" s="127"/>
      <c r="L15" s="130"/>
      <c r="M15" s="130"/>
      <c r="N15" s="130"/>
      <c r="O15" s="130"/>
      <c r="P15" s="130"/>
      <c r="Q15" s="130"/>
      <c r="R15" s="130"/>
      <c r="S15" s="131"/>
      <c r="T15" s="131"/>
      <c r="U15" s="127"/>
    </row>
    <row r="16" spans="1:21" ht="25.5" outlineLevel="2">
      <c r="A16" s="3"/>
      <c r="B16" s="93"/>
      <c r="C16" s="93"/>
      <c r="D16" s="113" t="s">
        <v>95</v>
      </c>
      <c r="E16" s="114">
        <v>2</v>
      </c>
      <c r="F16" s="115" t="s">
        <v>102</v>
      </c>
      <c r="G16" s="116" t="s">
        <v>103</v>
      </c>
      <c r="H16" s="117">
        <v>0.637</v>
      </c>
      <c r="I16" s="118" t="s">
        <v>98</v>
      </c>
      <c r="J16" s="119"/>
      <c r="K16" s="120">
        <f>H16*J16</f>
        <v>0</v>
      </c>
      <c r="L16" s="121">
        <f>IF(D16="S",K16,"")</f>
      </c>
      <c r="M16" s="122">
        <f>IF(OR(D16="P",D16="U"),K16,"")</f>
        <v>0</v>
      </c>
      <c r="N16" s="122">
        <f>IF(D16="H",K16,"")</f>
      </c>
      <c r="O16" s="122">
        <f>IF(D16="V",K16,"")</f>
      </c>
      <c r="P16" s="123">
        <v>0</v>
      </c>
      <c r="Q16" s="123">
        <v>0</v>
      </c>
      <c r="R16" s="123">
        <v>0.5900000000001455</v>
      </c>
      <c r="S16" s="124">
        <v>21</v>
      </c>
      <c r="T16" s="125">
        <f>K16*(S16+100)/100</f>
        <v>0</v>
      </c>
      <c r="U16" s="126"/>
    </row>
    <row r="17" spans="1:21" s="138" customFormat="1" ht="11.25" outlineLevel="2">
      <c r="A17" s="132"/>
      <c r="B17" s="132"/>
      <c r="C17" s="132"/>
      <c r="D17" s="132"/>
      <c r="E17" s="132"/>
      <c r="F17" s="132"/>
      <c r="G17" s="133" t="s">
        <v>104</v>
      </c>
      <c r="H17" s="132"/>
      <c r="I17" s="134"/>
      <c r="J17" s="132"/>
      <c r="K17" s="132"/>
      <c r="L17" s="135"/>
      <c r="M17" s="135"/>
      <c r="N17" s="135"/>
      <c r="O17" s="135"/>
      <c r="P17" s="136"/>
      <c r="Q17" s="132"/>
      <c r="R17" s="132"/>
      <c r="S17" s="137"/>
      <c r="T17" s="137"/>
      <c r="U17" s="132"/>
    </row>
    <row r="18" spans="1:21" s="51" customFormat="1" ht="10.5" customHeight="1" outlineLevel="3">
      <c r="A18" s="42"/>
      <c r="B18" s="127"/>
      <c r="C18" s="127"/>
      <c r="D18" s="127"/>
      <c r="E18" s="127"/>
      <c r="F18" s="127"/>
      <c r="G18" s="127" t="s">
        <v>105</v>
      </c>
      <c r="H18" s="128">
        <v>0.637</v>
      </c>
      <c r="I18" s="129"/>
      <c r="J18" s="127"/>
      <c r="K18" s="127"/>
      <c r="L18" s="130"/>
      <c r="M18" s="130"/>
      <c r="N18" s="130"/>
      <c r="O18" s="130"/>
      <c r="P18" s="130"/>
      <c r="Q18" s="130"/>
      <c r="R18" s="130"/>
      <c r="S18" s="131"/>
      <c r="T18" s="131"/>
      <c r="U18" s="127"/>
    </row>
    <row r="19" spans="1:21" ht="12.75" outlineLevel="2">
      <c r="A19" s="3"/>
      <c r="B19" s="93"/>
      <c r="C19" s="93"/>
      <c r="D19" s="113" t="s">
        <v>95</v>
      </c>
      <c r="E19" s="114">
        <v>3</v>
      </c>
      <c r="F19" s="115" t="s">
        <v>106</v>
      </c>
      <c r="G19" s="116" t="s">
        <v>107</v>
      </c>
      <c r="H19" s="117">
        <v>1.274</v>
      </c>
      <c r="I19" s="118" t="s">
        <v>98</v>
      </c>
      <c r="J19" s="119"/>
      <c r="K19" s="120">
        <f>H19*J19</f>
        <v>0</v>
      </c>
      <c r="L19" s="121">
        <f>IF(D19="S",K19,"")</f>
      </c>
      <c r="M19" s="122">
        <f>IF(OR(D19="P",D19="U"),K19,"")</f>
        <v>0</v>
      </c>
      <c r="N19" s="122">
        <f>IF(D19="H",K19,"")</f>
      </c>
      <c r="O19" s="122">
        <f>IF(D19="V",K19,"")</f>
      </c>
      <c r="P19" s="123">
        <v>0</v>
      </c>
      <c r="Q19" s="123">
        <v>0</v>
      </c>
      <c r="R19" s="123">
        <v>0</v>
      </c>
      <c r="S19" s="124">
        <v>21</v>
      </c>
      <c r="T19" s="125">
        <f>K19*(S19+100)/100</f>
        <v>0</v>
      </c>
      <c r="U19" s="126"/>
    </row>
    <row r="20" spans="1:21" s="138" customFormat="1" ht="11.25" outlineLevel="2">
      <c r="A20" s="132"/>
      <c r="B20" s="132"/>
      <c r="C20" s="132"/>
      <c r="D20" s="132"/>
      <c r="E20" s="132"/>
      <c r="F20" s="132"/>
      <c r="G20" s="133" t="s">
        <v>108</v>
      </c>
      <c r="H20" s="132"/>
      <c r="I20" s="134"/>
      <c r="J20" s="132"/>
      <c r="K20" s="132"/>
      <c r="L20" s="135"/>
      <c r="M20" s="135"/>
      <c r="N20" s="135"/>
      <c r="O20" s="135"/>
      <c r="P20" s="136"/>
      <c r="Q20" s="132"/>
      <c r="R20" s="132"/>
      <c r="S20" s="137"/>
      <c r="T20" s="137"/>
      <c r="U20" s="132"/>
    </row>
    <row r="21" spans="1:21" ht="12.75" outlineLevel="2">
      <c r="A21" s="3"/>
      <c r="B21" s="93"/>
      <c r="C21" s="93"/>
      <c r="D21" s="113" t="s">
        <v>95</v>
      </c>
      <c r="E21" s="114">
        <v>4</v>
      </c>
      <c r="F21" s="115" t="s">
        <v>109</v>
      </c>
      <c r="G21" s="116" t="s">
        <v>110</v>
      </c>
      <c r="H21" s="117">
        <v>5.096</v>
      </c>
      <c r="I21" s="118" t="s">
        <v>98</v>
      </c>
      <c r="J21" s="119"/>
      <c r="K21" s="120">
        <f>H21*J21</f>
        <v>0</v>
      </c>
      <c r="L21" s="121">
        <f>IF(D21="S",K21,"")</f>
      </c>
      <c r="M21" s="122">
        <f>IF(OR(D21="P",D21="U"),K21,"")</f>
        <v>0</v>
      </c>
      <c r="N21" s="122">
        <f>IF(D21="H",K21,"")</f>
      </c>
      <c r="O21" s="122">
        <f>IF(D21="V",K21,"")</f>
      </c>
      <c r="P21" s="123">
        <v>0</v>
      </c>
      <c r="Q21" s="123">
        <v>0</v>
      </c>
      <c r="R21" s="123">
        <v>0</v>
      </c>
      <c r="S21" s="124">
        <v>21</v>
      </c>
      <c r="T21" s="125">
        <f>K21*(S21+100)/100</f>
        <v>0</v>
      </c>
      <c r="U21" s="126"/>
    </row>
    <row r="22" spans="1:21" s="51" customFormat="1" ht="10.5" customHeight="1" outlineLevel="3">
      <c r="A22" s="42"/>
      <c r="B22" s="127"/>
      <c r="C22" s="127"/>
      <c r="D22" s="127"/>
      <c r="E22" s="127"/>
      <c r="F22" s="127"/>
      <c r="G22" s="127" t="s">
        <v>111</v>
      </c>
      <c r="H22" s="128">
        <v>5.096</v>
      </c>
      <c r="I22" s="129"/>
      <c r="J22" s="127"/>
      <c r="K22" s="127"/>
      <c r="L22" s="130"/>
      <c r="M22" s="130"/>
      <c r="N22" s="130"/>
      <c r="O22" s="130"/>
      <c r="P22" s="130"/>
      <c r="Q22" s="130"/>
      <c r="R22" s="130"/>
      <c r="S22" s="131"/>
      <c r="T22" s="131"/>
      <c r="U22" s="127"/>
    </row>
    <row r="23" spans="1:21" ht="12.75" outlineLevel="1">
      <c r="A23" s="3"/>
      <c r="B23" s="94"/>
      <c r="C23" s="95" t="s">
        <v>112</v>
      </c>
      <c r="D23" s="96" t="s">
        <v>92</v>
      </c>
      <c r="E23" s="97"/>
      <c r="F23" s="97" t="s">
        <v>40</v>
      </c>
      <c r="G23" s="98" t="s">
        <v>113</v>
      </c>
      <c r="H23" s="97"/>
      <c r="I23" s="96"/>
      <c r="J23" s="97"/>
      <c r="K23" s="99">
        <f>SUBTOTAL(9,K24:K33)</f>
        <v>0</v>
      </c>
      <c r="L23" s="100">
        <f>SUBTOTAL(9,L24:L33)</f>
        <v>0</v>
      </c>
      <c r="M23" s="100">
        <f>SUBTOTAL(9,M24:M33)</f>
        <v>0</v>
      </c>
      <c r="N23" s="100">
        <f>SUBTOTAL(9,N24:N33)</f>
        <v>0</v>
      </c>
      <c r="O23" s="100">
        <f>SUBTOTAL(9,O24:O33)</f>
        <v>0</v>
      </c>
      <c r="P23" s="101">
        <f>SUMPRODUCT(P24:P33,H24:H33)</f>
        <v>2.8896899376499996</v>
      </c>
      <c r="Q23" s="101">
        <f>SUMPRODUCT(Q24:Q33,H24:H33)</f>
        <v>0</v>
      </c>
      <c r="R23" s="101">
        <f>SUMPRODUCT(R24:R33,H24:H33)</f>
        <v>2.632497000000286</v>
      </c>
      <c r="S23" s="102">
        <f>SUMPRODUCT(S24:S33,K24:K33)/100</f>
        <v>0</v>
      </c>
      <c r="T23" s="102">
        <f>K23+S23</f>
        <v>0</v>
      </c>
      <c r="U23" s="93"/>
    </row>
    <row r="24" spans="1:21" ht="12.75" outlineLevel="2">
      <c r="A24" s="3"/>
      <c r="B24" s="103"/>
      <c r="C24" s="104"/>
      <c r="D24" s="105"/>
      <c r="E24" s="106" t="s">
        <v>94</v>
      </c>
      <c r="F24" s="107"/>
      <c r="G24" s="108"/>
      <c r="H24" s="107"/>
      <c r="I24" s="105"/>
      <c r="J24" s="107"/>
      <c r="K24" s="109"/>
      <c r="L24" s="110"/>
      <c r="M24" s="110"/>
      <c r="N24" s="110"/>
      <c r="O24" s="110"/>
      <c r="P24" s="111"/>
      <c r="Q24" s="111"/>
      <c r="R24" s="111"/>
      <c r="S24" s="112"/>
      <c r="T24" s="112"/>
      <c r="U24" s="93"/>
    </row>
    <row r="25" spans="1:21" ht="12.75" outlineLevel="2">
      <c r="A25" s="3"/>
      <c r="B25" s="93"/>
      <c r="C25" s="93"/>
      <c r="D25" s="113" t="s">
        <v>95</v>
      </c>
      <c r="E25" s="114">
        <v>1</v>
      </c>
      <c r="F25" s="115" t="s">
        <v>114</v>
      </c>
      <c r="G25" s="116" t="s">
        <v>115</v>
      </c>
      <c r="H25" s="117">
        <v>1.2740225</v>
      </c>
      <c r="I25" s="118" t="s">
        <v>98</v>
      </c>
      <c r="J25" s="119"/>
      <c r="K25" s="120">
        <f>H25*J25</f>
        <v>0</v>
      </c>
      <c r="L25" s="121">
        <f>IF(D25="S",K25,"")</f>
      </c>
      <c r="M25" s="122">
        <f>IF(OR(D25="P",D25="U"),K25,"")</f>
        <v>0</v>
      </c>
      <c r="N25" s="122">
        <f>IF(D25="H",K25,"")</f>
      </c>
      <c r="O25" s="122">
        <f>IF(D25="V",K25,"")</f>
      </c>
      <c r="P25" s="123">
        <v>2.25634</v>
      </c>
      <c r="Q25" s="123">
        <v>0</v>
      </c>
      <c r="R25" s="123">
        <v>0</v>
      </c>
      <c r="S25" s="124">
        <v>21</v>
      </c>
      <c r="T25" s="125">
        <f>K25*(S25+100)/100</f>
        <v>0</v>
      </c>
      <c r="U25" s="126"/>
    </row>
    <row r="26" spans="1:21" s="51" customFormat="1" ht="10.5" customHeight="1" outlineLevel="3">
      <c r="A26" s="42"/>
      <c r="B26" s="127"/>
      <c r="C26" s="127"/>
      <c r="D26" s="127"/>
      <c r="E26" s="127"/>
      <c r="F26" s="127"/>
      <c r="G26" s="127" t="s">
        <v>99</v>
      </c>
      <c r="H26" s="128">
        <v>1.024</v>
      </c>
      <c r="I26" s="129"/>
      <c r="J26" s="127"/>
      <c r="K26" s="127"/>
      <c r="L26" s="130"/>
      <c r="M26" s="130"/>
      <c r="N26" s="130"/>
      <c r="O26" s="130"/>
      <c r="P26" s="130"/>
      <c r="Q26" s="130"/>
      <c r="R26" s="130"/>
      <c r="S26" s="131"/>
      <c r="T26" s="131"/>
      <c r="U26" s="127"/>
    </row>
    <row r="27" spans="1:21" s="51" customFormat="1" ht="10.5" customHeight="1" outlineLevel="3">
      <c r="A27" s="42"/>
      <c r="B27" s="127"/>
      <c r="C27" s="127"/>
      <c r="D27" s="127"/>
      <c r="E27" s="127"/>
      <c r="F27" s="127"/>
      <c r="G27" s="127" t="s">
        <v>100</v>
      </c>
      <c r="H27" s="128">
        <v>0.1731</v>
      </c>
      <c r="I27" s="129"/>
      <c r="J27" s="127"/>
      <c r="K27" s="127"/>
      <c r="L27" s="130"/>
      <c r="M27" s="130"/>
      <c r="N27" s="130"/>
      <c r="O27" s="130"/>
      <c r="P27" s="130"/>
      <c r="Q27" s="130"/>
      <c r="R27" s="130"/>
      <c r="S27" s="131"/>
      <c r="T27" s="131"/>
      <c r="U27" s="127"/>
    </row>
    <row r="28" spans="1:21" s="51" customFormat="1" ht="10.5" customHeight="1" outlineLevel="3">
      <c r="A28" s="42"/>
      <c r="B28" s="127"/>
      <c r="C28" s="127"/>
      <c r="D28" s="127"/>
      <c r="E28" s="127"/>
      <c r="F28" s="127"/>
      <c r="G28" s="127" t="s">
        <v>101</v>
      </c>
      <c r="H28" s="128">
        <v>0.0769</v>
      </c>
      <c r="I28" s="129"/>
      <c r="J28" s="127"/>
      <c r="K28" s="127"/>
      <c r="L28" s="130"/>
      <c r="M28" s="130"/>
      <c r="N28" s="130"/>
      <c r="O28" s="130"/>
      <c r="P28" s="130"/>
      <c r="Q28" s="130"/>
      <c r="R28" s="130"/>
      <c r="S28" s="131"/>
      <c r="T28" s="131"/>
      <c r="U28" s="127"/>
    </row>
    <row r="29" spans="1:21" ht="12.75" outlineLevel="2">
      <c r="A29" s="3"/>
      <c r="B29" s="93"/>
      <c r="C29" s="93"/>
      <c r="D29" s="113" t="s">
        <v>95</v>
      </c>
      <c r="E29" s="114">
        <v>2</v>
      </c>
      <c r="F29" s="115" t="s">
        <v>116</v>
      </c>
      <c r="G29" s="116" t="s">
        <v>117</v>
      </c>
      <c r="H29" s="117">
        <v>13.0974</v>
      </c>
      <c r="I29" s="118" t="s">
        <v>118</v>
      </c>
      <c r="J29" s="119"/>
      <c r="K29" s="120">
        <f>H29*J29</f>
        <v>0</v>
      </c>
      <c r="L29" s="121">
        <f>IF(D29="S",K29,"")</f>
      </c>
      <c r="M29" s="122">
        <f>IF(OR(D29="P",D29="U"),K29,"")</f>
        <v>0</v>
      </c>
      <c r="N29" s="122">
        <f>IF(D29="H",K29,"")</f>
      </c>
      <c r="O29" s="122">
        <f>IF(D29="V",K29,"")</f>
      </c>
      <c r="P29" s="123">
        <v>0.00115</v>
      </c>
      <c r="Q29" s="123">
        <v>0</v>
      </c>
      <c r="R29" s="123">
        <v>0</v>
      </c>
      <c r="S29" s="124">
        <v>21</v>
      </c>
      <c r="T29" s="125">
        <f>K29*(S29+100)/100</f>
        <v>0</v>
      </c>
      <c r="U29" s="126"/>
    </row>
    <row r="30" spans="1:21" s="51" customFormat="1" ht="10.5" customHeight="1" outlineLevel="3">
      <c r="A30" s="42"/>
      <c r="B30" s="127"/>
      <c r="C30" s="127"/>
      <c r="D30" s="127"/>
      <c r="E30" s="127"/>
      <c r="F30" s="127"/>
      <c r="G30" s="127" t="s">
        <v>119</v>
      </c>
      <c r="H30" s="128">
        <v>10.24</v>
      </c>
      <c r="I30" s="129"/>
      <c r="J30" s="127"/>
      <c r="K30" s="127"/>
      <c r="L30" s="130"/>
      <c r="M30" s="130"/>
      <c r="N30" s="130"/>
      <c r="O30" s="130"/>
      <c r="P30" s="130"/>
      <c r="Q30" s="130"/>
      <c r="R30" s="130"/>
      <c r="S30" s="131"/>
      <c r="T30" s="131"/>
      <c r="U30" s="127"/>
    </row>
    <row r="31" spans="1:21" s="51" customFormat="1" ht="10.5" customHeight="1" outlineLevel="3">
      <c r="A31" s="42"/>
      <c r="B31" s="127"/>
      <c r="C31" s="127"/>
      <c r="D31" s="127"/>
      <c r="E31" s="127"/>
      <c r="F31" s="127"/>
      <c r="G31" s="127" t="s">
        <v>120</v>
      </c>
      <c r="H31" s="128">
        <v>1.9782</v>
      </c>
      <c r="I31" s="129"/>
      <c r="J31" s="127"/>
      <c r="K31" s="127"/>
      <c r="L31" s="130"/>
      <c r="M31" s="130"/>
      <c r="N31" s="130"/>
      <c r="O31" s="130"/>
      <c r="P31" s="130"/>
      <c r="Q31" s="130"/>
      <c r="R31" s="130"/>
      <c r="S31" s="131"/>
      <c r="T31" s="131"/>
      <c r="U31" s="127"/>
    </row>
    <row r="32" spans="1:21" s="51" customFormat="1" ht="10.5" customHeight="1" outlineLevel="3">
      <c r="A32" s="42"/>
      <c r="B32" s="127"/>
      <c r="C32" s="127"/>
      <c r="D32" s="127"/>
      <c r="E32" s="127"/>
      <c r="F32" s="127"/>
      <c r="G32" s="127" t="s">
        <v>121</v>
      </c>
      <c r="H32" s="128">
        <v>0.8792</v>
      </c>
      <c r="I32" s="129"/>
      <c r="J32" s="127"/>
      <c r="K32" s="127"/>
      <c r="L32" s="130"/>
      <c r="M32" s="130"/>
      <c r="N32" s="130"/>
      <c r="O32" s="130"/>
      <c r="P32" s="130"/>
      <c r="Q32" s="130"/>
      <c r="R32" s="130"/>
      <c r="S32" s="131"/>
      <c r="T32" s="131"/>
      <c r="U32" s="127"/>
    </row>
    <row r="33" spans="1:21" ht="12.75" outlineLevel="2">
      <c r="A33" s="3"/>
      <c r="B33" s="93"/>
      <c r="C33" s="93"/>
      <c r="D33" s="113" t="s">
        <v>95</v>
      </c>
      <c r="E33" s="114">
        <v>3</v>
      </c>
      <c r="F33" s="115" t="s">
        <v>122</v>
      </c>
      <c r="G33" s="116" t="s">
        <v>123</v>
      </c>
      <c r="H33" s="117">
        <v>13.097</v>
      </c>
      <c r="I33" s="118" t="s">
        <v>118</v>
      </c>
      <c r="J33" s="119"/>
      <c r="K33" s="120">
        <f>H33*J33</f>
        <v>0</v>
      </c>
      <c r="L33" s="121">
        <f>IF(D33="S",K33,"")</f>
      </c>
      <c r="M33" s="122">
        <f>IF(OR(D33="P",D33="U"),K33,"")</f>
        <v>0</v>
      </c>
      <c r="N33" s="122">
        <f>IF(D33="H",K33,"")</f>
      </c>
      <c r="O33" s="122">
        <f>IF(D33="V",K33,"")</f>
      </c>
      <c r="P33" s="123">
        <v>0</v>
      </c>
      <c r="Q33" s="123">
        <v>0</v>
      </c>
      <c r="R33" s="123">
        <v>0.20100000000002183</v>
      </c>
      <c r="S33" s="124">
        <v>21</v>
      </c>
      <c r="T33" s="125">
        <f>K33*(S33+100)/100</f>
        <v>0</v>
      </c>
      <c r="U33" s="126"/>
    </row>
    <row r="34" spans="1:21" ht="12.75" outlineLevel="1">
      <c r="A34" s="3"/>
      <c r="B34" s="94"/>
      <c r="C34" s="95" t="s">
        <v>124</v>
      </c>
      <c r="D34" s="96" t="s">
        <v>92</v>
      </c>
      <c r="E34" s="97"/>
      <c r="F34" s="97" t="s">
        <v>40</v>
      </c>
      <c r="G34" s="98" t="s">
        <v>125</v>
      </c>
      <c r="H34" s="97"/>
      <c r="I34" s="96"/>
      <c r="J34" s="97"/>
      <c r="K34" s="99">
        <f>SUBTOTAL(9,K35:K44)</f>
        <v>0</v>
      </c>
      <c r="L34" s="100">
        <f>SUBTOTAL(9,L35:L44)</f>
        <v>0</v>
      </c>
      <c r="M34" s="100">
        <f>SUBTOTAL(9,M35:M44)</f>
        <v>0</v>
      </c>
      <c r="N34" s="100">
        <f>SUBTOTAL(9,N35:N44)</f>
        <v>0</v>
      </c>
      <c r="O34" s="100">
        <f>SUBTOTAL(9,O35:O44)</f>
        <v>0</v>
      </c>
      <c r="P34" s="101">
        <f>SUMPRODUCT(P35:P44,H35:H44)</f>
        <v>3.5153500000015563</v>
      </c>
      <c r="Q34" s="101">
        <f>SUMPRODUCT(Q35:Q44,H35:H44)</f>
        <v>0</v>
      </c>
      <c r="R34" s="101">
        <f>SUMPRODUCT(R35:R44,H35:H44)</f>
        <v>23.68600000000697</v>
      </c>
      <c r="S34" s="102">
        <f>SUMPRODUCT(S35:S44,K35:K44)/100</f>
        <v>0</v>
      </c>
      <c r="T34" s="102">
        <f>K34+S34</f>
        <v>0</v>
      </c>
      <c r="U34" s="93"/>
    </row>
    <row r="35" spans="1:21" ht="12.75" outlineLevel="2">
      <c r="A35" s="3"/>
      <c r="B35" s="103"/>
      <c r="C35" s="104"/>
      <c r="D35" s="105"/>
      <c r="E35" s="106" t="s">
        <v>94</v>
      </c>
      <c r="F35" s="107"/>
      <c r="G35" s="108"/>
      <c r="H35" s="107"/>
      <c r="I35" s="105"/>
      <c r="J35" s="107"/>
      <c r="K35" s="109"/>
      <c r="L35" s="110"/>
      <c r="M35" s="110"/>
      <c r="N35" s="110"/>
      <c r="O35" s="110"/>
      <c r="P35" s="111"/>
      <c r="Q35" s="111"/>
      <c r="R35" s="111"/>
      <c r="S35" s="112"/>
      <c r="T35" s="112"/>
      <c r="U35" s="93"/>
    </row>
    <row r="36" spans="1:21" ht="12.75" outlineLevel="2">
      <c r="A36" s="3"/>
      <c r="B36" s="93"/>
      <c r="C36" s="93"/>
      <c r="D36" s="113" t="s">
        <v>95</v>
      </c>
      <c r="E36" s="114">
        <v>4</v>
      </c>
      <c r="F36" s="115" t="s">
        <v>129</v>
      </c>
      <c r="G36" s="116" t="s">
        <v>130</v>
      </c>
      <c r="H36" s="117">
        <v>8</v>
      </c>
      <c r="I36" s="118" t="s">
        <v>126</v>
      </c>
      <c r="J36" s="119"/>
      <c r="K36" s="120">
        <f>H36*J36</f>
        <v>0</v>
      </c>
      <c r="L36" s="121">
        <f>IF(D36="S",K36,"")</f>
      </c>
      <c r="M36" s="122">
        <f>IF(OR(D36="P",D36="U"),K36,"")</f>
        <v>0</v>
      </c>
      <c r="N36" s="122">
        <f>IF(D36="H",K36,"")</f>
      </c>
      <c r="O36" s="122">
        <f>IF(D36="V",K36,"")</f>
      </c>
      <c r="P36" s="123">
        <v>0.35744000000018283</v>
      </c>
      <c r="Q36" s="123">
        <v>0</v>
      </c>
      <c r="R36" s="123">
        <v>2.5750000000007276</v>
      </c>
      <c r="S36" s="124">
        <v>21</v>
      </c>
      <c r="T36" s="125">
        <f>K36*(S36+100)/100</f>
        <v>0</v>
      </c>
      <c r="U36" s="126"/>
    </row>
    <row r="37" spans="1:21" ht="12.75" outlineLevel="2">
      <c r="A37" s="3"/>
      <c r="B37" s="93"/>
      <c r="C37" s="93"/>
      <c r="D37" s="113" t="s">
        <v>131</v>
      </c>
      <c r="E37" s="114">
        <v>5</v>
      </c>
      <c r="F37" s="115" t="s">
        <v>127</v>
      </c>
      <c r="G37" s="116" t="s">
        <v>132</v>
      </c>
      <c r="H37" s="117">
        <v>8</v>
      </c>
      <c r="I37" s="118" t="s">
        <v>126</v>
      </c>
      <c r="J37" s="119"/>
      <c r="K37" s="120">
        <f>H37*J37</f>
        <v>0</v>
      </c>
      <c r="L37" s="121">
        <f>IF(D37="S",K37,"")</f>
        <v>0</v>
      </c>
      <c r="M37" s="122">
        <f>IF(OR(D37="P",D37="U"),K37,"")</f>
      </c>
      <c r="N37" s="122">
        <f>IF(D37="H",K37,"")</f>
      </c>
      <c r="O37" s="122">
        <f>IF(D37="V",K37,"")</f>
      </c>
      <c r="P37" s="123">
        <v>0</v>
      </c>
      <c r="Q37" s="123">
        <v>0</v>
      </c>
      <c r="R37" s="123">
        <v>0</v>
      </c>
      <c r="S37" s="124">
        <v>21</v>
      </c>
      <c r="T37" s="125">
        <f>K37*(S37+100)/100</f>
        <v>0</v>
      </c>
      <c r="U37" s="126"/>
    </row>
    <row r="38" spans="1:21" s="138" customFormat="1" ht="146.25" outlineLevel="2">
      <c r="A38" s="132"/>
      <c r="B38" s="132"/>
      <c r="C38" s="132"/>
      <c r="D38" s="132"/>
      <c r="E38" s="132"/>
      <c r="F38" s="132"/>
      <c r="G38" s="133" t="s">
        <v>133</v>
      </c>
      <c r="H38" s="132"/>
      <c r="I38" s="134"/>
      <c r="J38" s="132"/>
      <c r="K38" s="132"/>
      <c r="L38" s="135"/>
      <c r="M38" s="135"/>
      <c r="N38" s="135"/>
      <c r="O38" s="135"/>
      <c r="P38" s="136"/>
      <c r="Q38" s="132"/>
      <c r="R38" s="132"/>
      <c r="S38" s="137"/>
      <c r="T38" s="137"/>
      <c r="U38" s="132"/>
    </row>
    <row r="39" spans="1:21" ht="12.75" outlineLevel="2">
      <c r="A39" s="3"/>
      <c r="B39" s="93"/>
      <c r="C39" s="93"/>
      <c r="D39" s="113" t="s">
        <v>95</v>
      </c>
      <c r="E39" s="114">
        <v>6</v>
      </c>
      <c r="F39" s="115" t="s">
        <v>134</v>
      </c>
      <c r="G39" s="116" t="s">
        <v>135</v>
      </c>
      <c r="H39" s="117">
        <v>6</v>
      </c>
      <c r="I39" s="118" t="s">
        <v>126</v>
      </c>
      <c r="J39" s="119"/>
      <c r="K39" s="120">
        <f>H39*J39</f>
        <v>0</v>
      </c>
      <c r="L39" s="121">
        <f>IF(D39="S",K39,"")</f>
      </c>
      <c r="M39" s="122">
        <f>IF(OR(D39="P",D39="U"),K39,"")</f>
        <v>0</v>
      </c>
      <c r="N39" s="122">
        <f>IF(D39="H",K39,"")</f>
      </c>
      <c r="O39" s="122">
        <f>IF(D39="V",K39,"")</f>
      </c>
      <c r="P39" s="123">
        <v>0.07287000000000274</v>
      </c>
      <c r="Q39" s="123">
        <v>0</v>
      </c>
      <c r="R39" s="123">
        <v>0.41600000000016735</v>
      </c>
      <c r="S39" s="124">
        <v>21</v>
      </c>
      <c r="T39" s="125">
        <f>K39*(S39+100)/100</f>
        <v>0</v>
      </c>
      <c r="U39" s="126"/>
    </row>
    <row r="40" spans="1:21" ht="12.75" outlineLevel="2">
      <c r="A40" s="3"/>
      <c r="B40" s="93"/>
      <c r="C40" s="93"/>
      <c r="D40" s="113" t="s">
        <v>131</v>
      </c>
      <c r="E40" s="114">
        <v>7</v>
      </c>
      <c r="F40" s="115" t="s">
        <v>128</v>
      </c>
      <c r="G40" s="116" t="s">
        <v>136</v>
      </c>
      <c r="H40" s="117">
        <v>6</v>
      </c>
      <c r="I40" s="118" t="s">
        <v>126</v>
      </c>
      <c r="J40" s="119"/>
      <c r="K40" s="120">
        <f>H40*J40</f>
        <v>0</v>
      </c>
      <c r="L40" s="121">
        <f>IF(D40="S",K40,"")</f>
        <v>0</v>
      </c>
      <c r="M40" s="122">
        <f>IF(OR(D40="P",D40="U"),K40,"")</f>
      </c>
      <c r="N40" s="122">
        <f>IF(D40="H",K40,"")</f>
      </c>
      <c r="O40" s="122">
        <f>IF(D40="V",K40,"")</f>
      </c>
      <c r="P40" s="123">
        <v>0</v>
      </c>
      <c r="Q40" s="123">
        <v>0</v>
      </c>
      <c r="R40" s="123">
        <v>0</v>
      </c>
      <c r="S40" s="124">
        <v>21</v>
      </c>
      <c r="T40" s="125">
        <f>K40*(S40+100)/100</f>
        <v>0</v>
      </c>
      <c r="U40" s="126"/>
    </row>
    <row r="41" spans="1:21" s="138" customFormat="1" ht="123.75" outlineLevel="2">
      <c r="A41" s="132"/>
      <c r="B41" s="132"/>
      <c r="C41" s="132"/>
      <c r="D41" s="132"/>
      <c r="E41" s="132"/>
      <c r="F41" s="132"/>
      <c r="G41" s="133" t="s">
        <v>137</v>
      </c>
      <c r="H41" s="132"/>
      <c r="I41" s="134"/>
      <c r="J41" s="132"/>
      <c r="K41" s="132"/>
      <c r="L41" s="135"/>
      <c r="M41" s="135"/>
      <c r="N41" s="135"/>
      <c r="O41" s="135"/>
      <c r="P41" s="136"/>
      <c r="Q41" s="132"/>
      <c r="R41" s="132"/>
      <c r="S41" s="137"/>
      <c r="T41" s="137"/>
      <c r="U41" s="132"/>
    </row>
    <row r="42" spans="1:21" ht="12.75" outlineLevel="2">
      <c r="A42" s="3"/>
      <c r="B42" s="93"/>
      <c r="C42" s="93"/>
      <c r="D42" s="113" t="s">
        <v>95</v>
      </c>
      <c r="E42" s="114">
        <v>8</v>
      </c>
      <c r="F42" s="115" t="s">
        <v>138</v>
      </c>
      <c r="G42" s="116" t="s">
        <v>139</v>
      </c>
      <c r="H42" s="117">
        <v>2</v>
      </c>
      <c r="I42" s="118" t="s">
        <v>126</v>
      </c>
      <c r="J42" s="119"/>
      <c r="K42" s="120">
        <f>H42*J42</f>
        <v>0</v>
      </c>
      <c r="L42" s="121">
        <f>IF(D42="S",K42,"")</f>
      </c>
      <c r="M42" s="122">
        <f>IF(OR(D42="P",D42="U"),K42,"")</f>
        <v>0</v>
      </c>
      <c r="N42" s="122">
        <f>IF(D42="H",K42,"")</f>
      </c>
      <c r="O42" s="122">
        <f>IF(D42="V",K42,"")</f>
      </c>
      <c r="P42" s="123">
        <v>0.10930500000003865</v>
      </c>
      <c r="Q42" s="123">
        <v>0</v>
      </c>
      <c r="R42" s="123">
        <v>0.29500000000007276</v>
      </c>
      <c r="S42" s="124">
        <v>21</v>
      </c>
      <c r="T42" s="125">
        <f>K42*(S42+100)/100</f>
        <v>0</v>
      </c>
      <c r="U42" s="126"/>
    </row>
    <row r="43" spans="1:21" ht="12.75" outlineLevel="2">
      <c r="A43" s="3"/>
      <c r="B43" s="93"/>
      <c r="C43" s="93"/>
      <c r="D43" s="113" t="s">
        <v>131</v>
      </c>
      <c r="E43" s="114">
        <v>9</v>
      </c>
      <c r="F43" s="115" t="s">
        <v>140</v>
      </c>
      <c r="G43" s="116" t="s">
        <v>141</v>
      </c>
      <c r="H43" s="117">
        <v>2</v>
      </c>
      <c r="I43" s="118" t="s">
        <v>126</v>
      </c>
      <c r="J43" s="119"/>
      <c r="K43" s="120">
        <f>H43*J43</f>
        <v>0</v>
      </c>
      <c r="L43" s="121">
        <f>IF(D43="S",K43,"")</f>
        <v>0</v>
      </c>
      <c r="M43" s="122">
        <f>IF(OR(D43="P",D43="U"),K43,"")</f>
      </c>
      <c r="N43" s="122">
        <f>IF(D43="H",K43,"")</f>
      </c>
      <c r="O43" s="122">
        <f>IF(D43="V",K43,"")</f>
      </c>
      <c r="P43" s="123">
        <v>0</v>
      </c>
      <c r="Q43" s="123">
        <v>0</v>
      </c>
      <c r="R43" s="123">
        <v>0</v>
      </c>
      <c r="S43" s="124">
        <v>21</v>
      </c>
      <c r="T43" s="125">
        <f>K43*(S43+100)/100</f>
        <v>0</v>
      </c>
      <c r="U43" s="126"/>
    </row>
    <row r="44" spans="1:21" s="138" customFormat="1" ht="56.25" outlineLevel="2">
      <c r="A44" s="132"/>
      <c r="B44" s="132"/>
      <c r="C44" s="132"/>
      <c r="D44" s="132"/>
      <c r="E44" s="132"/>
      <c r="F44" s="132"/>
      <c r="G44" s="133" t="s">
        <v>142</v>
      </c>
      <c r="H44" s="132"/>
      <c r="I44" s="134"/>
      <c r="J44" s="132"/>
      <c r="K44" s="132"/>
      <c r="L44" s="135"/>
      <c r="M44" s="135"/>
      <c r="N44" s="135"/>
      <c r="O44" s="135"/>
      <c r="P44" s="136"/>
      <c r="Q44" s="132"/>
      <c r="R44" s="132"/>
      <c r="S44" s="137"/>
      <c r="T44" s="137"/>
      <c r="U44" s="132"/>
    </row>
    <row r="45" spans="1:21" ht="12.75" outlineLevel="1">
      <c r="A45" s="3"/>
      <c r="B45" s="94"/>
      <c r="C45" s="95" t="s">
        <v>143</v>
      </c>
      <c r="D45" s="96" t="s">
        <v>92</v>
      </c>
      <c r="E45" s="97"/>
      <c r="F45" s="97" t="s">
        <v>40</v>
      </c>
      <c r="G45" s="98" t="s">
        <v>144</v>
      </c>
      <c r="H45" s="97"/>
      <c r="I45" s="96"/>
      <c r="J45" s="97"/>
      <c r="K45" s="99">
        <f>SUBTOTAL(9,K46:K47)</f>
        <v>0</v>
      </c>
      <c r="L45" s="100">
        <f>SUBTOTAL(9,L46:L47)</f>
        <v>0</v>
      </c>
      <c r="M45" s="100">
        <f>SUBTOTAL(9,M46:M47)</f>
        <v>0</v>
      </c>
      <c r="N45" s="100">
        <f>SUBTOTAL(9,N46:N47)</f>
        <v>0</v>
      </c>
      <c r="O45" s="100">
        <f>SUBTOTAL(9,O46:O47)</f>
        <v>0</v>
      </c>
      <c r="P45" s="101">
        <f>SUMPRODUCT(P46:P47,H46:H47)</f>
        <v>0</v>
      </c>
      <c r="Q45" s="101">
        <f>SUMPRODUCT(Q46:Q47,H46:H47)</f>
        <v>0</v>
      </c>
      <c r="R45" s="101">
        <f>SUMPRODUCT(R46:R47,H46:H47)</f>
        <v>0</v>
      </c>
      <c r="S45" s="102">
        <f>SUMPRODUCT(S46:S47,K46:K47)/100</f>
        <v>0</v>
      </c>
      <c r="T45" s="102">
        <f>K45+S45</f>
        <v>0</v>
      </c>
      <c r="U45" s="93"/>
    </row>
    <row r="46" spans="1:21" ht="12.75" outlineLevel="2">
      <c r="A46" s="3"/>
      <c r="B46" s="103"/>
      <c r="C46" s="104"/>
      <c r="D46" s="105"/>
      <c r="E46" s="106" t="s">
        <v>94</v>
      </c>
      <c r="F46" s="107"/>
      <c r="G46" s="108"/>
      <c r="H46" s="107"/>
      <c r="I46" s="105"/>
      <c r="J46" s="107"/>
      <c r="K46" s="109"/>
      <c r="L46" s="110"/>
      <c r="M46" s="110"/>
      <c r="N46" s="110"/>
      <c r="O46" s="110"/>
      <c r="P46" s="111"/>
      <c r="Q46" s="111"/>
      <c r="R46" s="111"/>
      <c r="S46" s="112"/>
      <c r="T46" s="112"/>
      <c r="U46" s="93"/>
    </row>
    <row r="47" spans="1:21" ht="12.75" outlineLevel="2">
      <c r="A47" s="3"/>
      <c r="B47" s="93"/>
      <c r="C47" s="93"/>
      <c r="D47" s="113" t="s">
        <v>145</v>
      </c>
      <c r="E47" s="114">
        <v>1</v>
      </c>
      <c r="F47" s="115" t="s">
        <v>146</v>
      </c>
      <c r="G47" s="116" t="s">
        <v>147</v>
      </c>
      <c r="H47" s="117">
        <v>6.405039937651557</v>
      </c>
      <c r="I47" s="118" t="s">
        <v>148</v>
      </c>
      <c r="J47" s="119"/>
      <c r="K47" s="120">
        <f>H47*J47</f>
        <v>0</v>
      </c>
      <c r="L47" s="121">
        <f>IF(D47="S",K47,"")</f>
      </c>
      <c r="M47" s="122">
        <f>IF(OR(D47="P",D47="U"),K47,"")</f>
        <v>0</v>
      </c>
      <c r="N47" s="122">
        <f>IF(D47="H",K47,"")</f>
      </c>
      <c r="O47" s="122">
        <f>IF(D47="V",K47,"")</f>
      </c>
      <c r="P47" s="123">
        <v>0</v>
      </c>
      <c r="Q47" s="123">
        <v>0</v>
      </c>
      <c r="R47" s="123">
        <v>0</v>
      </c>
      <c r="S47" s="124">
        <v>21</v>
      </c>
      <c r="T47" s="125">
        <f>K47*(S47+100)/100</f>
        <v>0</v>
      </c>
      <c r="U47" s="126"/>
    </row>
    <row r="144" ht="12.75"/>
    <row r="145" ht="12.75"/>
    <row r="146" ht="12.75"/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2018-07-25T07:15:36Z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