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GIS_DATA\ZZ_Požadavky uživatelů\Trampler\2025\Lesní pozemky SMK\"/>
    </mc:Choice>
  </mc:AlternateContent>
  <bookViews>
    <workbookView xWindow="0" yWindow="0" windowWidth="38400" windowHeight="16875" tabRatio="730"/>
  </bookViews>
  <sheets>
    <sheet name="export (2)" sheetId="1" r:id="rId1"/>
    <sheet name="List1" sheetId="2" r:id="rId2"/>
  </sheets>
  <definedNames>
    <definedName name="_xlnm._FilterDatabase" localSheetId="0" hidden="1">'export (2)'!$A$1:$L$526</definedName>
  </definedNames>
  <calcPr calcId="162913"/>
</workbook>
</file>

<file path=xl/calcChain.xml><?xml version="1.0" encoding="utf-8"?>
<calcChain xmlns="http://schemas.openxmlformats.org/spreadsheetml/2006/main">
  <c r="A517" i="1" l="1"/>
  <c r="H18" i="2"/>
  <c r="G18" i="2"/>
  <c r="F18" i="2"/>
  <c r="E18" i="2"/>
  <c r="D18" i="2"/>
  <c r="C18" i="2"/>
  <c r="B18" i="2"/>
  <c r="A18" i="2"/>
  <c r="B12" i="2"/>
  <c r="A12" i="2"/>
  <c r="E7" i="2"/>
  <c r="D7" i="2"/>
  <c r="C7" i="2"/>
  <c r="B7" i="2"/>
  <c r="A7" i="2"/>
  <c r="SP2" i="2"/>
  <c r="SO2" i="2"/>
  <c r="SN2" i="2"/>
  <c r="SM2" i="2"/>
  <c r="SL2" i="2"/>
  <c r="SK2" i="2"/>
  <c r="SJ2" i="2"/>
  <c r="SI2" i="2"/>
  <c r="SH2" i="2"/>
  <c r="SG2" i="2"/>
  <c r="SF2" i="2"/>
  <c r="SE2" i="2"/>
  <c r="SD2" i="2"/>
  <c r="SC2" i="2"/>
  <c r="SB2" i="2"/>
  <c r="SA2" i="2"/>
  <c r="RZ2" i="2"/>
  <c r="RY2" i="2"/>
  <c r="RX2" i="2"/>
  <c r="RW2" i="2"/>
  <c r="RV2" i="2"/>
  <c r="RU2" i="2"/>
  <c r="RT2" i="2"/>
  <c r="RS2" i="2"/>
  <c r="RR2" i="2"/>
  <c r="RQ2" i="2"/>
  <c r="RP2" i="2"/>
  <c r="RO2" i="2"/>
  <c r="RN2" i="2"/>
  <c r="RM2" i="2"/>
  <c r="RL2" i="2"/>
  <c r="RK2" i="2"/>
  <c r="RJ2" i="2"/>
  <c r="RI2" i="2"/>
  <c r="RH2" i="2"/>
  <c r="RG2" i="2"/>
  <c r="RF2" i="2"/>
  <c r="RE2" i="2"/>
  <c r="RD2" i="2"/>
  <c r="RC2" i="2"/>
  <c r="RB2" i="2"/>
  <c r="RA2" i="2"/>
  <c r="QZ2" i="2"/>
  <c r="QY2" i="2"/>
  <c r="QX2" i="2"/>
  <c r="QW2" i="2"/>
  <c r="QV2" i="2"/>
  <c r="QU2" i="2"/>
  <c r="QT2" i="2"/>
  <c r="QS2" i="2"/>
  <c r="QR2" i="2"/>
  <c r="QQ2" i="2"/>
  <c r="QP2" i="2"/>
  <c r="QO2" i="2"/>
  <c r="QN2" i="2"/>
  <c r="QM2" i="2"/>
  <c r="QL2" i="2"/>
  <c r="QK2" i="2"/>
  <c r="QJ2" i="2"/>
  <c r="QI2" i="2"/>
  <c r="QH2" i="2"/>
  <c r="QG2" i="2"/>
  <c r="QF2" i="2"/>
  <c r="QE2" i="2"/>
  <c r="QD2" i="2"/>
  <c r="QC2" i="2"/>
  <c r="QB2" i="2"/>
  <c r="QA2" i="2"/>
  <c r="PZ2" i="2"/>
  <c r="PY2" i="2"/>
  <c r="PX2" i="2"/>
  <c r="PW2" i="2"/>
  <c r="PV2" i="2"/>
  <c r="PU2" i="2"/>
  <c r="PT2" i="2"/>
  <c r="PS2" i="2"/>
  <c r="PR2" i="2"/>
  <c r="PQ2" i="2"/>
  <c r="PP2" i="2"/>
  <c r="PO2" i="2"/>
  <c r="PN2" i="2"/>
  <c r="PM2" i="2"/>
  <c r="PL2" i="2"/>
  <c r="PK2" i="2"/>
  <c r="PJ2" i="2"/>
  <c r="PI2" i="2"/>
  <c r="PH2" i="2"/>
  <c r="PG2" i="2"/>
  <c r="PF2" i="2"/>
  <c r="PE2" i="2"/>
  <c r="PD2" i="2"/>
  <c r="PC2" i="2"/>
  <c r="PB2" i="2"/>
  <c r="PA2" i="2"/>
  <c r="OZ2" i="2"/>
  <c r="OY2" i="2"/>
  <c r="OX2" i="2"/>
  <c r="OW2" i="2"/>
  <c r="OV2" i="2"/>
  <c r="OU2" i="2"/>
  <c r="OT2" i="2"/>
  <c r="OS2" i="2"/>
  <c r="OR2" i="2"/>
  <c r="OQ2" i="2"/>
  <c r="OP2" i="2"/>
  <c r="OO2" i="2"/>
  <c r="ON2" i="2"/>
  <c r="OM2" i="2"/>
  <c r="OL2" i="2"/>
  <c r="OK2" i="2"/>
  <c r="OJ2" i="2"/>
  <c r="OI2" i="2"/>
  <c r="OH2" i="2"/>
  <c r="OG2" i="2"/>
  <c r="OF2" i="2"/>
  <c r="OE2" i="2"/>
  <c r="OD2" i="2"/>
  <c r="OC2" i="2"/>
  <c r="OB2" i="2"/>
  <c r="OA2" i="2"/>
  <c r="NZ2" i="2"/>
  <c r="NY2" i="2"/>
  <c r="NX2" i="2"/>
  <c r="NW2" i="2"/>
  <c r="NV2" i="2"/>
  <c r="NU2" i="2"/>
  <c r="NT2" i="2"/>
  <c r="NS2" i="2"/>
  <c r="NR2" i="2"/>
  <c r="NQ2" i="2"/>
  <c r="NP2" i="2"/>
  <c r="NO2" i="2"/>
  <c r="NN2" i="2"/>
  <c r="NM2" i="2"/>
  <c r="NL2" i="2"/>
  <c r="NK2" i="2"/>
  <c r="NJ2" i="2"/>
  <c r="NI2" i="2"/>
  <c r="NH2" i="2"/>
  <c r="NG2" i="2"/>
  <c r="NF2" i="2"/>
  <c r="NE2" i="2"/>
  <c r="ND2" i="2"/>
  <c r="NC2" i="2"/>
  <c r="NB2" i="2"/>
  <c r="NA2" i="2"/>
  <c r="MZ2" i="2"/>
  <c r="MY2" i="2"/>
  <c r="MX2" i="2"/>
  <c r="MW2" i="2"/>
  <c r="MV2" i="2"/>
  <c r="MU2" i="2"/>
  <c r="MT2" i="2"/>
  <c r="MS2" i="2"/>
  <c r="MR2" i="2"/>
  <c r="MQ2" i="2"/>
  <c r="MP2" i="2"/>
  <c r="MO2" i="2"/>
  <c r="MN2" i="2"/>
  <c r="MM2" i="2"/>
  <c r="ML2" i="2"/>
  <c r="MK2" i="2"/>
  <c r="MJ2" i="2"/>
  <c r="MI2" i="2"/>
  <c r="MH2" i="2"/>
  <c r="MG2" i="2"/>
  <c r="MF2" i="2"/>
  <c r="ME2" i="2"/>
  <c r="MD2" i="2"/>
  <c r="MC2" i="2"/>
  <c r="MB2" i="2"/>
  <c r="MA2" i="2"/>
  <c r="LZ2" i="2"/>
  <c r="LY2" i="2"/>
  <c r="LX2" i="2"/>
  <c r="LW2" i="2"/>
  <c r="LV2" i="2"/>
  <c r="LU2" i="2"/>
  <c r="LT2" i="2"/>
  <c r="LS2" i="2"/>
  <c r="LR2" i="2"/>
  <c r="LQ2" i="2"/>
  <c r="LP2" i="2"/>
  <c r="LO2" i="2"/>
  <c r="LN2" i="2"/>
  <c r="LM2" i="2"/>
  <c r="LL2" i="2"/>
  <c r="LK2" i="2"/>
  <c r="LJ2" i="2"/>
  <c r="LI2" i="2"/>
  <c r="LH2" i="2"/>
  <c r="LG2" i="2"/>
  <c r="LF2" i="2"/>
  <c r="LE2" i="2"/>
  <c r="LD2" i="2"/>
  <c r="LC2" i="2"/>
  <c r="LB2" i="2"/>
  <c r="LA2" i="2"/>
  <c r="KZ2" i="2"/>
  <c r="KY2" i="2"/>
  <c r="KX2" i="2"/>
  <c r="KW2" i="2"/>
  <c r="KV2" i="2"/>
  <c r="KU2" i="2"/>
  <c r="KT2" i="2"/>
  <c r="KS2" i="2"/>
  <c r="KR2" i="2"/>
  <c r="KQ2" i="2"/>
  <c r="KP2" i="2"/>
  <c r="KO2" i="2"/>
  <c r="KN2" i="2"/>
  <c r="KM2" i="2"/>
  <c r="KL2" i="2"/>
  <c r="KK2" i="2"/>
  <c r="KJ2" i="2"/>
  <c r="KI2" i="2"/>
  <c r="KH2" i="2"/>
  <c r="KG2" i="2"/>
  <c r="KF2" i="2"/>
  <c r="KE2" i="2"/>
  <c r="KD2" i="2"/>
  <c r="KC2" i="2"/>
  <c r="KB2" i="2"/>
  <c r="KA2" i="2"/>
  <c r="JZ2" i="2"/>
  <c r="JY2" i="2"/>
  <c r="JX2" i="2"/>
  <c r="JW2" i="2"/>
  <c r="JV2" i="2"/>
  <c r="JU2" i="2"/>
  <c r="JT2" i="2"/>
  <c r="JS2" i="2"/>
  <c r="JR2" i="2"/>
  <c r="JQ2" i="2"/>
  <c r="JP2" i="2"/>
  <c r="JO2" i="2"/>
  <c r="JN2" i="2"/>
  <c r="JM2" i="2"/>
  <c r="JL2" i="2"/>
  <c r="JK2" i="2"/>
  <c r="JJ2" i="2"/>
  <c r="JI2" i="2"/>
  <c r="JH2" i="2"/>
  <c r="JG2" i="2"/>
  <c r="JF2" i="2"/>
  <c r="JE2" i="2"/>
  <c r="JD2" i="2"/>
  <c r="JC2" i="2"/>
  <c r="JB2" i="2"/>
  <c r="JA2" i="2"/>
  <c r="IZ2" i="2"/>
  <c r="IY2" i="2"/>
  <c r="IX2" i="2"/>
  <c r="IW2" i="2"/>
  <c r="IV2" i="2"/>
  <c r="IU2" i="2"/>
  <c r="IT2" i="2"/>
  <c r="IS2" i="2"/>
  <c r="IR2" i="2"/>
  <c r="IQ2" i="2"/>
  <c r="IP2" i="2"/>
  <c r="IO2" i="2"/>
  <c r="IN2" i="2"/>
  <c r="IM2" i="2"/>
  <c r="IL2" i="2"/>
  <c r="IK2" i="2"/>
  <c r="IJ2" i="2"/>
  <c r="II2" i="2"/>
  <c r="IH2" i="2"/>
  <c r="IG2" i="2"/>
  <c r="IF2" i="2"/>
  <c r="IE2" i="2"/>
  <c r="ID2" i="2"/>
  <c r="IC2" i="2"/>
  <c r="IB2" i="2"/>
  <c r="IA2" i="2"/>
  <c r="HZ2" i="2"/>
  <c r="HY2" i="2"/>
  <c r="HX2" i="2"/>
  <c r="HW2" i="2"/>
  <c r="HV2" i="2"/>
  <c r="HU2" i="2"/>
  <c r="HT2" i="2"/>
  <c r="HS2" i="2"/>
  <c r="HR2" i="2"/>
  <c r="HQ2" i="2"/>
  <c r="HP2" i="2"/>
  <c r="HO2" i="2"/>
  <c r="HN2" i="2"/>
  <c r="HM2" i="2"/>
  <c r="HL2" i="2"/>
  <c r="HK2" i="2"/>
  <c r="HJ2" i="2"/>
  <c r="HI2" i="2"/>
  <c r="HH2" i="2"/>
  <c r="HG2" i="2"/>
  <c r="HF2" i="2"/>
  <c r="HE2" i="2"/>
  <c r="HD2" i="2"/>
  <c r="HC2" i="2"/>
  <c r="HB2" i="2"/>
  <c r="HA2" i="2"/>
  <c r="GZ2" i="2"/>
  <c r="GY2" i="2"/>
  <c r="GX2" i="2"/>
  <c r="GW2" i="2"/>
  <c r="GV2" i="2"/>
  <c r="GU2" i="2"/>
  <c r="GT2" i="2"/>
  <c r="GS2" i="2"/>
  <c r="GR2" i="2"/>
  <c r="GQ2" i="2"/>
  <c r="GP2" i="2"/>
  <c r="GO2" i="2"/>
  <c r="GN2" i="2"/>
  <c r="GM2" i="2"/>
  <c r="GL2" i="2"/>
  <c r="GK2" i="2"/>
  <c r="GJ2" i="2"/>
  <c r="GI2" i="2"/>
  <c r="GH2" i="2"/>
  <c r="GG2" i="2"/>
  <c r="GF2" i="2"/>
  <c r="GE2" i="2"/>
  <c r="GD2" i="2"/>
  <c r="GC2" i="2"/>
  <c r="GB2" i="2"/>
  <c r="GA2" i="2"/>
  <c r="FZ2" i="2"/>
  <c r="FY2" i="2"/>
  <c r="FX2" i="2"/>
  <c r="FW2" i="2"/>
  <c r="FV2" i="2"/>
  <c r="FU2" i="2"/>
  <c r="FT2" i="2"/>
  <c r="FS2" i="2"/>
  <c r="FR2" i="2"/>
  <c r="FQ2" i="2"/>
  <c r="FP2" i="2"/>
  <c r="FO2" i="2"/>
  <c r="FN2" i="2"/>
  <c r="FM2" i="2"/>
  <c r="FL2" i="2"/>
  <c r="FK2" i="2"/>
  <c r="FJ2" i="2"/>
  <c r="FI2" i="2"/>
  <c r="FH2" i="2"/>
  <c r="FG2" i="2"/>
  <c r="FF2" i="2"/>
  <c r="FE2" i="2"/>
  <c r="FD2" i="2"/>
  <c r="FC2" i="2"/>
  <c r="FB2" i="2"/>
  <c r="FA2" i="2"/>
  <c r="EZ2" i="2"/>
  <c r="EY2" i="2"/>
  <c r="EX2" i="2"/>
  <c r="EW2" i="2"/>
  <c r="EV2" i="2"/>
  <c r="EU2" i="2"/>
  <c r="ET2" i="2"/>
  <c r="ES2" i="2"/>
  <c r="ER2" i="2"/>
  <c r="EQ2" i="2"/>
  <c r="EP2" i="2"/>
  <c r="EO2" i="2"/>
  <c r="EN2" i="2"/>
  <c r="EM2" i="2"/>
  <c r="EL2" i="2"/>
  <c r="EK2" i="2"/>
  <c r="EJ2" i="2"/>
  <c r="EI2" i="2"/>
  <c r="EH2" i="2"/>
  <c r="EG2" i="2"/>
  <c r="EF2" i="2"/>
  <c r="EE2" i="2"/>
  <c r="ED2" i="2"/>
  <c r="EC2" i="2"/>
  <c r="EB2" i="2"/>
  <c r="EA2" i="2"/>
  <c r="DZ2" i="2"/>
  <c r="DY2" i="2"/>
  <c r="DX2" i="2"/>
  <c r="DW2" i="2"/>
  <c r="DV2" i="2"/>
  <c r="DU2" i="2"/>
  <c r="DT2" i="2"/>
  <c r="DS2" i="2"/>
  <c r="DR2" i="2"/>
  <c r="DQ2" i="2"/>
  <c r="DP2" i="2"/>
  <c r="DO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A2" i="1" l="1"/>
  <c r="B2" i="1"/>
  <c r="C2" i="1"/>
  <c r="D2" i="1"/>
  <c r="E2" i="1"/>
  <c r="F2" i="1"/>
  <c r="G2" i="1"/>
  <c r="H2" i="1"/>
  <c r="I2" i="1"/>
  <c r="J2" i="1"/>
  <c r="K2" i="1"/>
  <c r="L2" i="1"/>
  <c r="A3" i="1"/>
  <c r="B3" i="1"/>
  <c r="C3" i="1"/>
  <c r="D3" i="1"/>
  <c r="E3" i="1"/>
  <c r="F3" i="1"/>
  <c r="G3" i="1"/>
  <c r="H3" i="1"/>
  <c r="I3" i="1"/>
  <c r="J3" i="1"/>
  <c r="K3" i="1"/>
  <c r="L3" i="1"/>
  <c r="A4" i="1"/>
  <c r="B4" i="1"/>
  <c r="C4" i="1"/>
  <c r="D4" i="1"/>
  <c r="E4" i="1"/>
  <c r="F4" i="1"/>
  <c r="G4" i="1"/>
  <c r="H4" i="1"/>
  <c r="I4" i="1"/>
  <c r="J4" i="1"/>
  <c r="K4" i="1"/>
  <c r="L4" i="1"/>
  <c r="A5" i="1"/>
  <c r="B5" i="1"/>
  <c r="C5" i="1"/>
  <c r="D5" i="1"/>
  <c r="E5" i="1"/>
  <c r="F5" i="1"/>
  <c r="G5" i="1"/>
  <c r="H5" i="1"/>
  <c r="I5" i="1"/>
  <c r="J5" i="1"/>
  <c r="K5" i="1"/>
  <c r="L5" i="1"/>
  <c r="A6" i="1"/>
  <c r="B6" i="1"/>
  <c r="C6" i="1"/>
  <c r="D6" i="1"/>
  <c r="E6" i="1"/>
  <c r="F6" i="1"/>
  <c r="G6" i="1"/>
  <c r="H6" i="1"/>
  <c r="I6" i="1"/>
  <c r="J6" i="1"/>
  <c r="K6" i="1"/>
  <c r="L6" i="1"/>
  <c r="A7" i="1"/>
  <c r="B7" i="1"/>
  <c r="C7" i="1"/>
  <c r="D7" i="1"/>
  <c r="E7" i="1"/>
  <c r="F7" i="1"/>
  <c r="G7" i="1"/>
  <c r="H7" i="1"/>
  <c r="I7" i="1"/>
  <c r="J7" i="1"/>
  <c r="K7" i="1"/>
  <c r="L7" i="1"/>
  <c r="A8" i="1"/>
  <c r="B8" i="1"/>
  <c r="C8" i="1"/>
  <c r="D8" i="1"/>
  <c r="E8" i="1"/>
  <c r="F8" i="1"/>
  <c r="G8" i="1"/>
  <c r="H8" i="1"/>
  <c r="I8" i="1"/>
  <c r="J8" i="1"/>
  <c r="K8" i="1"/>
  <c r="L8" i="1"/>
  <c r="A9" i="1"/>
  <c r="B9" i="1"/>
  <c r="C9" i="1"/>
  <c r="D9" i="1"/>
  <c r="E9" i="1"/>
  <c r="F9" i="1"/>
  <c r="G9" i="1"/>
  <c r="H9" i="1"/>
  <c r="I9" i="1"/>
  <c r="J9" i="1"/>
  <c r="K9" i="1"/>
  <c r="L9" i="1"/>
  <c r="A10" i="1"/>
  <c r="B10" i="1"/>
  <c r="C10" i="1"/>
  <c r="D10" i="1"/>
  <c r="E10" i="1"/>
  <c r="F10" i="1"/>
  <c r="G10" i="1"/>
  <c r="H10" i="1"/>
  <c r="I10" i="1"/>
  <c r="J10" i="1"/>
  <c r="K10" i="1"/>
  <c r="L10" i="1"/>
  <c r="A11" i="1"/>
  <c r="B11" i="1"/>
  <c r="C11" i="1"/>
  <c r="D11" i="1"/>
  <c r="E11" i="1"/>
  <c r="F11" i="1"/>
  <c r="G11" i="1"/>
  <c r="H11" i="1"/>
  <c r="I11" i="1"/>
  <c r="J11" i="1"/>
  <c r="K11" i="1"/>
  <c r="L11" i="1"/>
  <c r="A12" i="1"/>
  <c r="B12" i="1"/>
  <c r="C12" i="1"/>
  <c r="D12" i="1"/>
  <c r="E12" i="1"/>
  <c r="F12" i="1"/>
  <c r="G12" i="1"/>
  <c r="H12" i="1"/>
  <c r="I12" i="1"/>
  <c r="J12" i="1"/>
  <c r="K12" i="1"/>
  <c r="L12" i="1"/>
  <c r="A13" i="1"/>
  <c r="B13" i="1"/>
  <c r="C13" i="1"/>
  <c r="D13" i="1"/>
  <c r="E13" i="1"/>
  <c r="F13" i="1"/>
  <c r="G13" i="1"/>
  <c r="H13" i="1"/>
  <c r="I13" i="1"/>
  <c r="J13" i="1"/>
  <c r="K13" i="1"/>
  <c r="L13" i="1"/>
  <c r="A14" i="1"/>
  <c r="B14" i="1"/>
  <c r="C14" i="1"/>
  <c r="D14" i="1"/>
  <c r="E14" i="1"/>
  <c r="F14" i="1"/>
  <c r="G14" i="1"/>
  <c r="H14" i="1"/>
  <c r="I14" i="1"/>
  <c r="J14" i="1"/>
  <c r="K14" i="1"/>
  <c r="L14" i="1"/>
  <c r="A15" i="1"/>
  <c r="B15" i="1"/>
  <c r="C15" i="1"/>
  <c r="D15" i="1"/>
  <c r="E15" i="1"/>
  <c r="F15" i="1"/>
  <c r="G15" i="1"/>
  <c r="H15" i="1"/>
  <c r="I15" i="1"/>
  <c r="J15" i="1"/>
  <c r="K15" i="1"/>
  <c r="L15" i="1"/>
  <c r="A16" i="1"/>
  <c r="B16" i="1"/>
  <c r="C16" i="1"/>
  <c r="D16" i="1"/>
  <c r="E16" i="1"/>
  <c r="F16" i="1"/>
  <c r="G16" i="1"/>
  <c r="H16" i="1"/>
  <c r="I16" i="1"/>
  <c r="J16" i="1"/>
  <c r="K16" i="1"/>
  <c r="L16" i="1"/>
  <c r="A17" i="1"/>
  <c r="B17" i="1"/>
  <c r="C17" i="1"/>
  <c r="D17" i="1"/>
  <c r="E17" i="1"/>
  <c r="F17" i="1"/>
  <c r="G17" i="1"/>
  <c r="H17" i="1"/>
  <c r="I17" i="1"/>
  <c r="J17" i="1"/>
  <c r="K17" i="1"/>
  <c r="L17" i="1"/>
  <c r="A18" i="1"/>
  <c r="B18" i="1"/>
  <c r="C18" i="1"/>
  <c r="D18" i="1"/>
  <c r="E18" i="1"/>
  <c r="F18" i="1"/>
  <c r="G18" i="1"/>
  <c r="H18" i="1"/>
  <c r="I18" i="1"/>
  <c r="J18" i="1"/>
  <c r="K18" i="1"/>
  <c r="L18" i="1"/>
  <c r="A19" i="1"/>
  <c r="B19" i="1"/>
  <c r="C19" i="1"/>
  <c r="D19" i="1"/>
  <c r="E19" i="1"/>
  <c r="F19" i="1"/>
  <c r="G19" i="1"/>
  <c r="H19" i="1"/>
  <c r="I19" i="1"/>
  <c r="J19" i="1"/>
  <c r="K19" i="1"/>
  <c r="L19" i="1"/>
  <c r="A20" i="1"/>
  <c r="B20" i="1"/>
  <c r="C20" i="1"/>
  <c r="D20" i="1"/>
  <c r="E20" i="1"/>
  <c r="F20" i="1"/>
  <c r="G20" i="1"/>
  <c r="H20" i="1"/>
  <c r="I20" i="1"/>
  <c r="J20" i="1"/>
  <c r="K20" i="1"/>
  <c r="L20" i="1"/>
  <c r="A21" i="1"/>
  <c r="B21" i="1"/>
  <c r="C21" i="1"/>
  <c r="D21" i="1"/>
  <c r="E21" i="1"/>
  <c r="F21" i="1"/>
  <c r="G21" i="1"/>
  <c r="H21" i="1"/>
  <c r="I21" i="1"/>
  <c r="J21" i="1"/>
  <c r="K21" i="1"/>
  <c r="L21" i="1"/>
  <c r="A22" i="1"/>
  <c r="B22" i="1"/>
  <c r="C22" i="1"/>
  <c r="D22" i="1"/>
  <c r="E22" i="1"/>
  <c r="F22" i="1"/>
  <c r="G22" i="1"/>
  <c r="H22" i="1"/>
  <c r="I22" i="1"/>
  <c r="J22" i="1"/>
  <c r="K22" i="1"/>
  <c r="L22" i="1"/>
  <c r="A23" i="1"/>
  <c r="B23" i="1"/>
  <c r="C23" i="1"/>
  <c r="D23" i="1"/>
  <c r="E23" i="1"/>
  <c r="F23" i="1"/>
  <c r="G23" i="1"/>
  <c r="H23" i="1"/>
  <c r="I23" i="1"/>
  <c r="J23" i="1"/>
  <c r="K23" i="1"/>
  <c r="L23" i="1"/>
  <c r="A24" i="1"/>
  <c r="B24" i="1"/>
  <c r="C24" i="1"/>
  <c r="D24" i="1"/>
  <c r="E24" i="1"/>
  <c r="F24" i="1"/>
  <c r="G24" i="1"/>
  <c r="H24" i="1"/>
  <c r="I24" i="1"/>
  <c r="J24" i="1"/>
  <c r="K24" i="1"/>
  <c r="L24" i="1"/>
  <c r="A25" i="1"/>
  <c r="B25" i="1"/>
  <c r="C25" i="1"/>
  <c r="D25" i="1"/>
  <c r="E25" i="1"/>
  <c r="F25" i="1"/>
  <c r="G25" i="1"/>
  <c r="H25" i="1"/>
  <c r="I25" i="1"/>
  <c r="J25" i="1"/>
  <c r="K25" i="1"/>
  <c r="L25" i="1"/>
  <c r="A26" i="1"/>
  <c r="B26" i="1"/>
  <c r="C26" i="1"/>
  <c r="D26" i="1"/>
  <c r="E26" i="1"/>
  <c r="F26" i="1"/>
  <c r="G26" i="1"/>
  <c r="H26" i="1"/>
  <c r="I26" i="1"/>
  <c r="J26" i="1"/>
  <c r="K26" i="1"/>
  <c r="L26" i="1"/>
  <c r="A27" i="1"/>
  <c r="B27" i="1"/>
  <c r="C27" i="1"/>
  <c r="D27" i="1"/>
  <c r="E27" i="1"/>
  <c r="F27" i="1"/>
  <c r="G27" i="1"/>
  <c r="H27" i="1"/>
  <c r="I27" i="1"/>
  <c r="J27" i="1"/>
  <c r="K27" i="1"/>
  <c r="L27" i="1"/>
  <c r="A28" i="1"/>
  <c r="B28" i="1"/>
  <c r="C28" i="1"/>
  <c r="D28" i="1"/>
  <c r="E28" i="1"/>
  <c r="F28" i="1"/>
  <c r="G28" i="1"/>
  <c r="H28" i="1"/>
  <c r="I28" i="1"/>
  <c r="J28" i="1"/>
  <c r="K28" i="1"/>
  <c r="L28" i="1"/>
  <c r="A29" i="1"/>
  <c r="B29" i="1"/>
  <c r="C29" i="1"/>
  <c r="D29" i="1"/>
  <c r="E29" i="1"/>
  <c r="F29" i="1"/>
  <c r="G29" i="1"/>
  <c r="H29" i="1"/>
  <c r="I29" i="1"/>
  <c r="J29" i="1"/>
  <c r="K29" i="1"/>
  <c r="L29" i="1"/>
  <c r="A30" i="1"/>
  <c r="B30" i="1"/>
  <c r="C30" i="1"/>
  <c r="D30" i="1"/>
  <c r="E30" i="1"/>
  <c r="F30" i="1"/>
  <c r="G30" i="1"/>
  <c r="H30" i="1"/>
  <c r="I30" i="1"/>
  <c r="J30" i="1"/>
  <c r="K30" i="1"/>
  <c r="L30" i="1"/>
  <c r="A31" i="1"/>
  <c r="B31" i="1"/>
  <c r="C31" i="1"/>
  <c r="D31" i="1"/>
  <c r="E31" i="1"/>
  <c r="F31" i="1"/>
  <c r="G31" i="1"/>
  <c r="H31" i="1"/>
  <c r="I31" i="1"/>
  <c r="J31" i="1"/>
  <c r="K31" i="1"/>
  <c r="L31" i="1"/>
  <c r="A32" i="1"/>
  <c r="B32" i="1"/>
  <c r="C32" i="1"/>
  <c r="D32" i="1"/>
  <c r="E32" i="1"/>
  <c r="F32" i="1"/>
  <c r="G32" i="1"/>
  <c r="H32" i="1"/>
  <c r="I32" i="1"/>
  <c r="J32" i="1"/>
  <c r="K32" i="1"/>
  <c r="L32" i="1"/>
  <c r="A33" i="1"/>
  <c r="B33" i="1"/>
  <c r="C33" i="1"/>
  <c r="D33" i="1"/>
  <c r="E33" i="1"/>
  <c r="F33" i="1"/>
  <c r="G33" i="1"/>
  <c r="H33" i="1"/>
  <c r="I33" i="1"/>
  <c r="J33" i="1"/>
  <c r="K33" i="1"/>
  <c r="L33" i="1"/>
  <c r="A34" i="1"/>
  <c r="B34" i="1"/>
  <c r="C34" i="1"/>
  <c r="D34" i="1"/>
  <c r="E34" i="1"/>
  <c r="F34" i="1"/>
  <c r="G34" i="1"/>
  <c r="H34" i="1"/>
  <c r="I34" i="1"/>
  <c r="J34" i="1"/>
  <c r="K34" i="1"/>
  <c r="L34" i="1"/>
  <c r="A512" i="1"/>
  <c r="B512" i="1"/>
  <c r="C512" i="1"/>
  <c r="D512" i="1"/>
  <c r="E512" i="1"/>
  <c r="F512" i="1"/>
  <c r="G512" i="1"/>
  <c r="H512" i="1"/>
  <c r="I512" i="1"/>
  <c r="J512" i="1"/>
  <c r="K512" i="1"/>
  <c r="L512" i="1"/>
  <c r="A35" i="1"/>
  <c r="B35" i="1"/>
  <c r="C35" i="1"/>
  <c r="D35" i="1"/>
  <c r="E35" i="1"/>
  <c r="F35" i="1"/>
  <c r="G35" i="1"/>
  <c r="H35" i="1"/>
  <c r="I35" i="1"/>
  <c r="J35" i="1"/>
  <c r="K35" i="1"/>
  <c r="L35" i="1"/>
  <c r="A36" i="1"/>
  <c r="B36" i="1"/>
  <c r="C36" i="1"/>
  <c r="D36" i="1"/>
  <c r="E36" i="1"/>
  <c r="F36" i="1"/>
  <c r="G36" i="1"/>
  <c r="H36" i="1"/>
  <c r="I36" i="1"/>
  <c r="J36" i="1"/>
  <c r="K36" i="1"/>
  <c r="L36" i="1"/>
  <c r="A37" i="1"/>
  <c r="B37" i="1"/>
  <c r="C37" i="1"/>
  <c r="D37" i="1"/>
  <c r="E37" i="1"/>
  <c r="F37" i="1"/>
  <c r="G37" i="1"/>
  <c r="H37" i="1"/>
  <c r="I37" i="1"/>
  <c r="J37" i="1"/>
  <c r="K37" i="1"/>
  <c r="L37" i="1"/>
  <c r="A38" i="1"/>
  <c r="B38" i="1"/>
  <c r="C38" i="1"/>
  <c r="D38" i="1"/>
  <c r="E38" i="1"/>
  <c r="F38" i="1"/>
  <c r="G38" i="1"/>
  <c r="H38" i="1"/>
  <c r="I38" i="1"/>
  <c r="J38" i="1"/>
  <c r="K38" i="1"/>
  <c r="L38" i="1"/>
  <c r="A39" i="1"/>
  <c r="B39" i="1"/>
  <c r="C39" i="1"/>
  <c r="D39" i="1"/>
  <c r="E39" i="1"/>
  <c r="F39" i="1"/>
  <c r="G39" i="1"/>
  <c r="H39" i="1"/>
  <c r="I39" i="1"/>
  <c r="J39" i="1"/>
  <c r="K39" i="1"/>
  <c r="L39" i="1"/>
  <c r="A40" i="1"/>
  <c r="B40" i="1"/>
  <c r="C40" i="1"/>
  <c r="D40" i="1"/>
  <c r="E40" i="1"/>
  <c r="F40" i="1"/>
  <c r="G40" i="1"/>
  <c r="H40" i="1"/>
  <c r="I40" i="1"/>
  <c r="J40" i="1"/>
  <c r="K40" i="1"/>
  <c r="L40" i="1"/>
  <c r="A41" i="1"/>
  <c r="B41" i="1"/>
  <c r="C41" i="1"/>
  <c r="D41" i="1"/>
  <c r="E41" i="1"/>
  <c r="F41" i="1"/>
  <c r="G41" i="1"/>
  <c r="H41" i="1"/>
  <c r="I41" i="1"/>
  <c r="J41" i="1"/>
  <c r="K41" i="1"/>
  <c r="L41" i="1"/>
  <c r="A42" i="1"/>
  <c r="B42" i="1"/>
  <c r="C42" i="1"/>
  <c r="D42" i="1"/>
  <c r="E42" i="1"/>
  <c r="F42" i="1"/>
  <c r="G42" i="1"/>
  <c r="H42" i="1"/>
  <c r="I42" i="1"/>
  <c r="J42" i="1"/>
  <c r="K42" i="1"/>
  <c r="L42" i="1"/>
  <c r="A43" i="1"/>
  <c r="B43" i="1"/>
  <c r="C43" i="1"/>
  <c r="D43" i="1"/>
  <c r="E43" i="1"/>
  <c r="F43" i="1"/>
  <c r="G43" i="1"/>
  <c r="H43" i="1"/>
  <c r="I43" i="1"/>
  <c r="J43" i="1"/>
  <c r="K43" i="1"/>
  <c r="L43" i="1"/>
  <c r="A44" i="1"/>
  <c r="B44" i="1"/>
  <c r="C44" i="1"/>
  <c r="D44" i="1"/>
  <c r="E44" i="1"/>
  <c r="F44" i="1"/>
  <c r="G44" i="1"/>
  <c r="H44" i="1"/>
  <c r="I44" i="1"/>
  <c r="J44" i="1"/>
  <c r="K44" i="1"/>
  <c r="L44" i="1"/>
  <c r="A45" i="1"/>
  <c r="B45" i="1"/>
  <c r="C45" i="1"/>
  <c r="D45" i="1"/>
  <c r="E45" i="1"/>
  <c r="F45" i="1"/>
  <c r="G45" i="1"/>
  <c r="H45" i="1"/>
  <c r="I45" i="1"/>
  <c r="J45" i="1"/>
  <c r="K45" i="1"/>
  <c r="L45" i="1"/>
  <c r="A46" i="1"/>
  <c r="B46" i="1"/>
  <c r="C46" i="1"/>
  <c r="D46" i="1"/>
  <c r="E46" i="1"/>
  <c r="F46" i="1"/>
  <c r="G46" i="1"/>
  <c r="H46" i="1"/>
  <c r="I46" i="1"/>
  <c r="J46" i="1"/>
  <c r="K46" i="1"/>
  <c r="L46" i="1"/>
  <c r="A47" i="1"/>
  <c r="B47" i="1"/>
  <c r="C47" i="1"/>
  <c r="D47" i="1"/>
  <c r="E47" i="1"/>
  <c r="F47" i="1"/>
  <c r="G47" i="1"/>
  <c r="H47" i="1"/>
  <c r="I47" i="1"/>
  <c r="J47" i="1"/>
  <c r="K47" i="1"/>
  <c r="L47" i="1"/>
  <c r="A48" i="1"/>
  <c r="B48" i="1"/>
  <c r="C48" i="1"/>
  <c r="D48" i="1"/>
  <c r="E48" i="1"/>
  <c r="F48" i="1"/>
  <c r="G48" i="1"/>
  <c r="H48" i="1"/>
  <c r="I48" i="1"/>
  <c r="J48" i="1"/>
  <c r="K48" i="1"/>
  <c r="L48" i="1"/>
  <c r="A49" i="1"/>
  <c r="B49" i="1"/>
  <c r="C49" i="1"/>
  <c r="D49" i="1"/>
  <c r="E49" i="1"/>
  <c r="F49" i="1"/>
  <c r="G49" i="1"/>
  <c r="H49" i="1"/>
  <c r="I49" i="1"/>
  <c r="J49" i="1"/>
  <c r="K49" i="1"/>
  <c r="L49" i="1"/>
  <c r="A50" i="1"/>
  <c r="B50" i="1"/>
  <c r="C50" i="1"/>
  <c r="D50" i="1"/>
  <c r="E50" i="1"/>
  <c r="F50" i="1"/>
  <c r="G50" i="1"/>
  <c r="H50" i="1"/>
  <c r="I50" i="1"/>
  <c r="J50" i="1"/>
  <c r="K50" i="1"/>
  <c r="L50" i="1"/>
  <c r="A51" i="1"/>
  <c r="B51" i="1"/>
  <c r="C51" i="1"/>
  <c r="D51" i="1"/>
  <c r="E51" i="1"/>
  <c r="F51" i="1"/>
  <c r="G51" i="1"/>
  <c r="H51" i="1"/>
  <c r="I51" i="1"/>
  <c r="J51" i="1"/>
  <c r="K51" i="1"/>
  <c r="L51" i="1"/>
  <c r="A52" i="1"/>
  <c r="B52" i="1"/>
  <c r="C52" i="1"/>
  <c r="D52" i="1"/>
  <c r="E52" i="1"/>
  <c r="F52" i="1"/>
  <c r="G52" i="1"/>
  <c r="H52" i="1"/>
  <c r="I52" i="1"/>
  <c r="J52" i="1"/>
  <c r="K52" i="1"/>
  <c r="L52" i="1"/>
  <c r="A53" i="1"/>
  <c r="B53" i="1"/>
  <c r="C53" i="1"/>
  <c r="D53" i="1"/>
  <c r="E53" i="1"/>
  <c r="F53" i="1"/>
  <c r="G53" i="1"/>
  <c r="H53" i="1"/>
  <c r="I53" i="1"/>
  <c r="J53" i="1"/>
  <c r="K53" i="1"/>
  <c r="L53" i="1"/>
  <c r="A54" i="1"/>
  <c r="B54" i="1"/>
  <c r="C54" i="1"/>
  <c r="D54" i="1"/>
  <c r="E54" i="1"/>
  <c r="F54" i="1"/>
  <c r="G54" i="1"/>
  <c r="H54" i="1"/>
  <c r="I54" i="1"/>
  <c r="J54" i="1"/>
  <c r="K54" i="1"/>
  <c r="L54" i="1"/>
  <c r="A55" i="1"/>
  <c r="B55" i="1"/>
  <c r="C55" i="1"/>
  <c r="D55" i="1"/>
  <c r="E55" i="1"/>
  <c r="F55" i="1"/>
  <c r="G55" i="1"/>
  <c r="H55" i="1"/>
  <c r="I55" i="1"/>
  <c r="J55" i="1"/>
  <c r="K55" i="1"/>
  <c r="L55" i="1"/>
  <c r="A56" i="1"/>
  <c r="B56" i="1"/>
  <c r="C56" i="1"/>
  <c r="D56" i="1"/>
  <c r="E56" i="1"/>
  <c r="F56" i="1"/>
  <c r="G56" i="1"/>
  <c r="H56" i="1"/>
  <c r="I56" i="1"/>
  <c r="J56" i="1"/>
  <c r="K56" i="1"/>
  <c r="L56" i="1"/>
  <c r="A57" i="1"/>
  <c r="B57" i="1"/>
  <c r="C57" i="1"/>
  <c r="D57" i="1"/>
  <c r="E57" i="1"/>
  <c r="F57" i="1"/>
  <c r="G57" i="1"/>
  <c r="H57" i="1"/>
  <c r="I57" i="1"/>
  <c r="J57" i="1"/>
  <c r="K57" i="1"/>
  <c r="L57" i="1"/>
  <c r="A58" i="1"/>
  <c r="B58" i="1"/>
  <c r="C58" i="1"/>
  <c r="D58" i="1"/>
  <c r="E58" i="1"/>
  <c r="F58" i="1"/>
  <c r="G58" i="1"/>
  <c r="H58" i="1"/>
  <c r="I58" i="1"/>
  <c r="J58" i="1"/>
  <c r="K58" i="1"/>
  <c r="L58" i="1"/>
  <c r="A59" i="1"/>
  <c r="B59" i="1"/>
  <c r="C59" i="1"/>
  <c r="D59" i="1"/>
  <c r="E59" i="1"/>
  <c r="F59" i="1"/>
  <c r="G59" i="1"/>
  <c r="H59" i="1"/>
  <c r="I59" i="1"/>
  <c r="J59" i="1"/>
  <c r="K59" i="1"/>
  <c r="L59" i="1"/>
  <c r="A60" i="1"/>
  <c r="B60" i="1"/>
  <c r="C60" i="1"/>
  <c r="D60" i="1"/>
  <c r="E60" i="1"/>
  <c r="F60" i="1"/>
  <c r="G60" i="1"/>
  <c r="H60" i="1"/>
  <c r="I60" i="1"/>
  <c r="J60" i="1"/>
  <c r="K60" i="1"/>
  <c r="L60" i="1"/>
  <c r="A61" i="1"/>
  <c r="B61" i="1"/>
  <c r="C61" i="1"/>
  <c r="D61" i="1"/>
  <c r="E61" i="1"/>
  <c r="F61" i="1"/>
  <c r="G61" i="1"/>
  <c r="H61" i="1"/>
  <c r="I61" i="1"/>
  <c r="J61" i="1"/>
  <c r="K61" i="1"/>
  <c r="L61" i="1"/>
  <c r="A62" i="1"/>
  <c r="B62" i="1"/>
  <c r="C62" i="1"/>
  <c r="D62" i="1"/>
  <c r="E62" i="1"/>
  <c r="F62" i="1"/>
  <c r="G62" i="1"/>
  <c r="H62" i="1"/>
  <c r="I62" i="1"/>
  <c r="J62" i="1"/>
  <c r="K62" i="1"/>
  <c r="L62" i="1"/>
  <c r="A63" i="1"/>
  <c r="B63" i="1"/>
  <c r="C63" i="1"/>
  <c r="D63" i="1"/>
  <c r="E63" i="1"/>
  <c r="F63" i="1"/>
  <c r="G63" i="1"/>
  <c r="H63" i="1"/>
  <c r="I63" i="1"/>
  <c r="J63" i="1"/>
  <c r="K63" i="1"/>
  <c r="L63" i="1"/>
  <c r="A64" i="1"/>
  <c r="B64" i="1"/>
  <c r="C64" i="1"/>
  <c r="D64" i="1"/>
  <c r="E64" i="1"/>
  <c r="F64" i="1"/>
  <c r="G64" i="1"/>
  <c r="H64" i="1"/>
  <c r="I64" i="1"/>
  <c r="J64" i="1"/>
  <c r="K64" i="1"/>
  <c r="L64" i="1"/>
  <c r="A65" i="1"/>
  <c r="B65" i="1"/>
  <c r="C65" i="1"/>
  <c r="D65" i="1"/>
  <c r="E65" i="1"/>
  <c r="F65" i="1"/>
  <c r="G65" i="1"/>
  <c r="H65" i="1"/>
  <c r="I65" i="1"/>
  <c r="J65" i="1"/>
  <c r="K65" i="1"/>
  <c r="L65" i="1"/>
  <c r="A66" i="1"/>
  <c r="B66" i="1"/>
  <c r="C66" i="1"/>
  <c r="D66" i="1"/>
  <c r="E66" i="1"/>
  <c r="F66" i="1"/>
  <c r="G66" i="1"/>
  <c r="H66" i="1"/>
  <c r="I66" i="1"/>
  <c r="J66" i="1"/>
  <c r="K66" i="1"/>
  <c r="L66" i="1"/>
  <c r="A67" i="1"/>
  <c r="B67" i="1"/>
  <c r="C67" i="1"/>
  <c r="D67" i="1"/>
  <c r="E67" i="1"/>
  <c r="F67" i="1"/>
  <c r="G67" i="1"/>
  <c r="H67" i="1"/>
  <c r="I67" i="1"/>
  <c r="J67" i="1"/>
  <c r="K67" i="1"/>
  <c r="L67" i="1"/>
  <c r="A68" i="1"/>
  <c r="B68" i="1"/>
  <c r="C68" i="1"/>
  <c r="D68" i="1"/>
  <c r="E68" i="1"/>
  <c r="F68" i="1"/>
  <c r="G68" i="1"/>
  <c r="H68" i="1"/>
  <c r="I68" i="1"/>
  <c r="J68" i="1"/>
  <c r="K68" i="1"/>
  <c r="L68" i="1"/>
  <c r="A69" i="1"/>
  <c r="B69" i="1"/>
  <c r="C69" i="1"/>
  <c r="D69" i="1"/>
  <c r="E69" i="1"/>
  <c r="F69" i="1"/>
  <c r="G69" i="1"/>
  <c r="H69" i="1"/>
  <c r="I69" i="1"/>
  <c r="J69" i="1"/>
  <c r="K69" i="1"/>
  <c r="L69" i="1"/>
  <c r="A70" i="1"/>
  <c r="B70" i="1"/>
  <c r="C70" i="1"/>
  <c r="D70" i="1"/>
  <c r="E70" i="1"/>
  <c r="F70" i="1"/>
  <c r="G70" i="1"/>
  <c r="H70" i="1"/>
  <c r="I70" i="1"/>
  <c r="J70" i="1"/>
  <c r="K70" i="1"/>
  <c r="L70" i="1"/>
  <c r="A71" i="1"/>
  <c r="B71" i="1"/>
  <c r="C71" i="1"/>
  <c r="D71" i="1"/>
  <c r="E71" i="1"/>
  <c r="F71" i="1"/>
  <c r="G71" i="1"/>
  <c r="H71" i="1"/>
  <c r="I71" i="1"/>
  <c r="J71" i="1"/>
  <c r="K71" i="1"/>
  <c r="L71" i="1"/>
  <c r="A72" i="1"/>
  <c r="B72" i="1"/>
  <c r="C72" i="1"/>
  <c r="D72" i="1"/>
  <c r="E72" i="1"/>
  <c r="F72" i="1"/>
  <c r="G72" i="1"/>
  <c r="H72" i="1"/>
  <c r="I72" i="1"/>
  <c r="J72" i="1"/>
  <c r="K72" i="1"/>
  <c r="L72" i="1"/>
  <c r="A73" i="1"/>
  <c r="B73" i="1"/>
  <c r="C73" i="1"/>
  <c r="D73" i="1"/>
  <c r="E73" i="1"/>
  <c r="F73" i="1"/>
  <c r="G73" i="1"/>
  <c r="H73" i="1"/>
  <c r="I73" i="1"/>
  <c r="J73" i="1"/>
  <c r="K73" i="1"/>
  <c r="L73" i="1"/>
  <c r="A74" i="1"/>
  <c r="B74" i="1"/>
  <c r="C74" i="1"/>
  <c r="D74" i="1"/>
  <c r="E74" i="1"/>
  <c r="F74" i="1"/>
  <c r="G74" i="1"/>
  <c r="H74" i="1"/>
  <c r="I74" i="1"/>
  <c r="J74" i="1"/>
  <c r="K74" i="1"/>
  <c r="L74" i="1"/>
  <c r="A75" i="1"/>
  <c r="B75" i="1"/>
  <c r="C75" i="1"/>
  <c r="D75" i="1"/>
  <c r="E75" i="1"/>
  <c r="F75" i="1"/>
  <c r="G75" i="1"/>
  <c r="H75" i="1"/>
  <c r="I75" i="1"/>
  <c r="J75" i="1"/>
  <c r="K75" i="1"/>
  <c r="L75" i="1"/>
  <c r="A76" i="1"/>
  <c r="B76" i="1"/>
  <c r="C76" i="1"/>
  <c r="D76" i="1"/>
  <c r="E76" i="1"/>
  <c r="F76" i="1"/>
  <c r="G76" i="1"/>
  <c r="H76" i="1"/>
  <c r="I76" i="1"/>
  <c r="J76" i="1"/>
  <c r="K76" i="1"/>
  <c r="L76" i="1"/>
  <c r="A77" i="1"/>
  <c r="B77" i="1"/>
  <c r="C77" i="1"/>
  <c r="D77" i="1"/>
  <c r="E77" i="1"/>
  <c r="F77" i="1"/>
  <c r="G77" i="1"/>
  <c r="H77" i="1"/>
  <c r="I77" i="1"/>
  <c r="J77" i="1"/>
  <c r="K77" i="1"/>
  <c r="L77" i="1"/>
  <c r="A78" i="1"/>
  <c r="B78" i="1"/>
  <c r="C78" i="1"/>
  <c r="D78" i="1"/>
  <c r="E78" i="1"/>
  <c r="F78" i="1"/>
  <c r="G78" i="1"/>
  <c r="H78" i="1"/>
  <c r="I78" i="1"/>
  <c r="J78" i="1"/>
  <c r="K78" i="1"/>
  <c r="L78" i="1"/>
  <c r="A79" i="1"/>
  <c r="B79" i="1"/>
  <c r="C79" i="1"/>
  <c r="D79" i="1"/>
  <c r="E79" i="1"/>
  <c r="F79" i="1"/>
  <c r="G79" i="1"/>
  <c r="H79" i="1"/>
  <c r="I79" i="1"/>
  <c r="J79" i="1"/>
  <c r="K79" i="1"/>
  <c r="L79" i="1"/>
  <c r="A80" i="1"/>
  <c r="B80" i="1"/>
  <c r="C80" i="1"/>
  <c r="D80" i="1"/>
  <c r="E80" i="1"/>
  <c r="F80" i="1"/>
  <c r="G80" i="1"/>
  <c r="H80" i="1"/>
  <c r="I80" i="1"/>
  <c r="J80" i="1"/>
  <c r="K80" i="1"/>
  <c r="L80" i="1"/>
  <c r="A81" i="1"/>
  <c r="B81" i="1"/>
  <c r="C81" i="1"/>
  <c r="D81" i="1"/>
  <c r="E81" i="1"/>
  <c r="F81" i="1"/>
  <c r="G81" i="1"/>
  <c r="H81" i="1"/>
  <c r="I81" i="1"/>
  <c r="J81" i="1"/>
  <c r="K81" i="1"/>
  <c r="L81" i="1"/>
  <c r="A82" i="1"/>
  <c r="B82" i="1"/>
  <c r="C82" i="1"/>
  <c r="D82" i="1"/>
  <c r="E82" i="1"/>
  <c r="F82" i="1"/>
  <c r="G82" i="1"/>
  <c r="H82" i="1"/>
  <c r="I82" i="1"/>
  <c r="J82" i="1"/>
  <c r="K82" i="1"/>
  <c r="L82" i="1"/>
  <c r="A83" i="1"/>
  <c r="B83" i="1"/>
  <c r="C83" i="1"/>
  <c r="D83" i="1"/>
  <c r="E83" i="1"/>
  <c r="F83" i="1"/>
  <c r="G83" i="1"/>
  <c r="H83" i="1"/>
  <c r="I83" i="1"/>
  <c r="J83" i="1"/>
  <c r="K83" i="1"/>
  <c r="L83" i="1"/>
  <c r="A84" i="1"/>
  <c r="B84" i="1"/>
  <c r="C84" i="1"/>
  <c r="D84" i="1"/>
  <c r="E84" i="1"/>
  <c r="F84" i="1"/>
  <c r="G84" i="1"/>
  <c r="H84" i="1"/>
  <c r="I84" i="1"/>
  <c r="J84" i="1"/>
  <c r="K84" i="1"/>
  <c r="L84" i="1"/>
  <c r="A85" i="1"/>
  <c r="B85" i="1"/>
  <c r="C85" i="1"/>
  <c r="D85" i="1"/>
  <c r="E85" i="1"/>
  <c r="F85" i="1"/>
  <c r="G85" i="1"/>
  <c r="H85" i="1"/>
  <c r="I85" i="1"/>
  <c r="J85" i="1"/>
  <c r="K85" i="1"/>
  <c r="L85" i="1"/>
  <c r="A86" i="1"/>
  <c r="B86" i="1"/>
  <c r="C86" i="1"/>
  <c r="D86" i="1"/>
  <c r="E86" i="1"/>
  <c r="F86" i="1"/>
  <c r="G86" i="1"/>
  <c r="H86" i="1"/>
  <c r="I86" i="1"/>
  <c r="J86" i="1"/>
  <c r="K86" i="1"/>
  <c r="L86" i="1"/>
  <c r="A87" i="1"/>
  <c r="B87" i="1"/>
  <c r="C87" i="1"/>
  <c r="D87" i="1"/>
  <c r="E87" i="1"/>
  <c r="F87" i="1"/>
  <c r="G87" i="1"/>
  <c r="H87" i="1"/>
  <c r="I87" i="1"/>
  <c r="J87" i="1"/>
  <c r="K87" i="1"/>
  <c r="L87" i="1"/>
  <c r="A88" i="1"/>
  <c r="B88" i="1"/>
  <c r="C88" i="1"/>
  <c r="D88" i="1"/>
  <c r="E88" i="1"/>
  <c r="F88" i="1"/>
  <c r="G88" i="1"/>
  <c r="H88" i="1"/>
  <c r="I88" i="1"/>
  <c r="J88" i="1"/>
  <c r="K88" i="1"/>
  <c r="L88" i="1"/>
  <c r="A89" i="1"/>
  <c r="B89" i="1"/>
  <c r="C89" i="1"/>
  <c r="D89" i="1"/>
  <c r="E89" i="1"/>
  <c r="F89" i="1"/>
  <c r="G89" i="1"/>
  <c r="H89" i="1"/>
  <c r="I89" i="1"/>
  <c r="J89" i="1"/>
  <c r="K89" i="1"/>
  <c r="L89" i="1"/>
  <c r="A90" i="1"/>
  <c r="B90" i="1"/>
  <c r="C90" i="1"/>
  <c r="D90" i="1"/>
  <c r="E90" i="1"/>
  <c r="F90" i="1"/>
  <c r="G90" i="1"/>
  <c r="H90" i="1"/>
  <c r="I90" i="1"/>
  <c r="J90" i="1"/>
  <c r="K90" i="1"/>
  <c r="L90" i="1"/>
  <c r="A91" i="1"/>
  <c r="B91" i="1"/>
  <c r="C91" i="1"/>
  <c r="D91" i="1"/>
  <c r="E91" i="1"/>
  <c r="F91" i="1"/>
  <c r="G91" i="1"/>
  <c r="H91" i="1"/>
  <c r="I91" i="1"/>
  <c r="J91" i="1"/>
  <c r="K91" i="1"/>
  <c r="L91" i="1"/>
  <c r="A92" i="1"/>
  <c r="B92" i="1"/>
  <c r="C92" i="1"/>
  <c r="D92" i="1"/>
  <c r="E92" i="1"/>
  <c r="F92" i="1"/>
  <c r="G92" i="1"/>
  <c r="H92" i="1"/>
  <c r="I92" i="1"/>
  <c r="J92" i="1"/>
  <c r="K92" i="1"/>
  <c r="L92" i="1"/>
  <c r="A93" i="1"/>
  <c r="B93" i="1"/>
  <c r="C93" i="1"/>
  <c r="D93" i="1"/>
  <c r="E93" i="1"/>
  <c r="F93" i="1"/>
  <c r="G93" i="1"/>
  <c r="H93" i="1"/>
  <c r="I93" i="1"/>
  <c r="J93" i="1"/>
  <c r="K93" i="1"/>
  <c r="L93" i="1"/>
  <c r="A94" i="1"/>
  <c r="B94" i="1"/>
  <c r="C94" i="1"/>
  <c r="D94" i="1"/>
  <c r="E94" i="1"/>
  <c r="F94" i="1"/>
  <c r="G94" i="1"/>
  <c r="H94" i="1"/>
  <c r="I94" i="1"/>
  <c r="J94" i="1"/>
  <c r="K94" i="1"/>
  <c r="L94" i="1"/>
  <c r="A95" i="1"/>
  <c r="B95" i="1"/>
  <c r="C95" i="1"/>
  <c r="D95" i="1"/>
  <c r="E95" i="1"/>
  <c r="F95" i="1"/>
  <c r="G95" i="1"/>
  <c r="H95" i="1"/>
  <c r="I95" i="1"/>
  <c r="J95" i="1"/>
  <c r="K95" i="1"/>
  <c r="L95" i="1"/>
  <c r="A96" i="1"/>
  <c r="B96" i="1"/>
  <c r="C96" i="1"/>
  <c r="D96" i="1"/>
  <c r="E96" i="1"/>
  <c r="F96" i="1"/>
  <c r="G96" i="1"/>
  <c r="H96" i="1"/>
  <c r="I96" i="1"/>
  <c r="J96" i="1"/>
  <c r="K96" i="1"/>
  <c r="L96" i="1"/>
  <c r="A97" i="1"/>
  <c r="B97" i="1"/>
  <c r="C97" i="1"/>
  <c r="D97" i="1"/>
  <c r="E97" i="1"/>
  <c r="F97" i="1"/>
  <c r="G97" i="1"/>
  <c r="H97" i="1"/>
  <c r="I97" i="1"/>
  <c r="J97" i="1"/>
  <c r="K97" i="1"/>
  <c r="L97" i="1"/>
  <c r="A98" i="1"/>
  <c r="B98" i="1"/>
  <c r="C98" i="1"/>
  <c r="D98" i="1"/>
  <c r="E98" i="1"/>
  <c r="F98" i="1"/>
  <c r="G98" i="1"/>
  <c r="H98" i="1"/>
  <c r="I98" i="1"/>
  <c r="J98" i="1"/>
  <c r="K98" i="1"/>
  <c r="L98" i="1"/>
  <c r="A99" i="1"/>
  <c r="B99" i="1"/>
  <c r="C99" i="1"/>
  <c r="D99" i="1"/>
  <c r="E99" i="1"/>
  <c r="F99" i="1"/>
  <c r="G99" i="1"/>
  <c r="H99" i="1"/>
  <c r="I99" i="1"/>
  <c r="J99" i="1"/>
  <c r="K99" i="1"/>
  <c r="L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A513" i="1"/>
  <c r="B513" i="1"/>
  <c r="C513" i="1"/>
  <c r="D513" i="1"/>
  <c r="E513" i="1"/>
  <c r="F513" i="1"/>
  <c r="G513" i="1"/>
  <c r="H513" i="1"/>
  <c r="I513" i="1"/>
  <c r="J513" i="1"/>
  <c r="K513" i="1"/>
  <c r="L513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A514" i="1"/>
  <c r="B514" i="1"/>
  <c r="C514" i="1"/>
  <c r="D514" i="1"/>
  <c r="E514" i="1"/>
  <c r="F514" i="1"/>
  <c r="G514" i="1"/>
  <c r="H514" i="1"/>
  <c r="I514" i="1"/>
  <c r="J514" i="1"/>
  <c r="K514" i="1"/>
  <c r="L514" i="1"/>
  <c r="A515" i="1"/>
  <c r="B515" i="1"/>
  <c r="C515" i="1"/>
  <c r="D515" i="1"/>
  <c r="E515" i="1"/>
  <c r="F515" i="1"/>
  <c r="G515" i="1"/>
  <c r="H515" i="1"/>
  <c r="I515" i="1"/>
  <c r="J515" i="1"/>
  <c r="K515" i="1"/>
  <c r="L515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A273" i="1"/>
  <c r="B273" i="1"/>
  <c r="C273" i="1"/>
  <c r="D273" i="1"/>
  <c r="E273" i="1"/>
  <c r="F273" i="1"/>
  <c r="G273" i="1"/>
  <c r="H273" i="1"/>
  <c r="I273" i="1"/>
  <c r="J273" i="1"/>
  <c r="K273" i="1"/>
  <c r="L273" i="1"/>
  <c r="A274" i="1"/>
  <c r="B274" i="1"/>
  <c r="C274" i="1"/>
  <c r="D274" i="1"/>
  <c r="E274" i="1"/>
  <c r="F274" i="1"/>
  <c r="G274" i="1"/>
  <c r="H274" i="1"/>
  <c r="I274" i="1"/>
  <c r="J274" i="1"/>
  <c r="K274" i="1"/>
  <c r="L274" i="1"/>
  <c r="A275" i="1"/>
  <c r="B275" i="1"/>
  <c r="C275" i="1"/>
  <c r="D275" i="1"/>
  <c r="E275" i="1"/>
  <c r="F275" i="1"/>
  <c r="G275" i="1"/>
  <c r="H275" i="1"/>
  <c r="I275" i="1"/>
  <c r="J275" i="1"/>
  <c r="K275" i="1"/>
  <c r="L275" i="1"/>
  <c r="A276" i="1"/>
  <c r="B276" i="1"/>
  <c r="C276" i="1"/>
  <c r="D276" i="1"/>
  <c r="E276" i="1"/>
  <c r="F276" i="1"/>
  <c r="G276" i="1"/>
  <c r="H276" i="1"/>
  <c r="I276" i="1"/>
  <c r="J276" i="1"/>
  <c r="K276" i="1"/>
  <c r="L276" i="1"/>
  <c r="A277" i="1"/>
  <c r="B277" i="1"/>
  <c r="C277" i="1"/>
  <c r="D277" i="1"/>
  <c r="E277" i="1"/>
  <c r="F277" i="1"/>
  <c r="G277" i="1"/>
  <c r="H277" i="1"/>
  <c r="I277" i="1"/>
  <c r="J277" i="1"/>
  <c r="K277" i="1"/>
  <c r="L277" i="1"/>
  <c r="A278" i="1"/>
  <c r="B278" i="1"/>
  <c r="C278" i="1"/>
  <c r="D278" i="1"/>
  <c r="E278" i="1"/>
  <c r="F278" i="1"/>
  <c r="G278" i="1"/>
  <c r="H278" i="1"/>
  <c r="I278" i="1"/>
  <c r="J278" i="1"/>
  <c r="K278" i="1"/>
  <c r="L278" i="1"/>
  <c r="A279" i="1"/>
  <c r="B279" i="1"/>
  <c r="C279" i="1"/>
  <c r="D279" i="1"/>
  <c r="E279" i="1"/>
  <c r="F279" i="1"/>
  <c r="G279" i="1"/>
  <c r="H279" i="1"/>
  <c r="I279" i="1"/>
  <c r="J279" i="1"/>
  <c r="K279" i="1"/>
  <c r="L279" i="1"/>
  <c r="A280" i="1"/>
  <c r="B280" i="1"/>
  <c r="C280" i="1"/>
  <c r="D280" i="1"/>
  <c r="E280" i="1"/>
  <c r="F280" i="1"/>
  <c r="G280" i="1"/>
  <c r="H280" i="1"/>
  <c r="I280" i="1"/>
  <c r="J280" i="1"/>
  <c r="K280" i="1"/>
  <c r="L280" i="1"/>
  <c r="A281" i="1"/>
  <c r="B281" i="1"/>
  <c r="C281" i="1"/>
  <c r="D281" i="1"/>
  <c r="E281" i="1"/>
  <c r="F281" i="1"/>
  <c r="G281" i="1"/>
  <c r="H281" i="1"/>
  <c r="I281" i="1"/>
  <c r="J281" i="1"/>
  <c r="K281" i="1"/>
  <c r="L281" i="1"/>
  <c r="A282" i="1"/>
  <c r="B282" i="1"/>
  <c r="C282" i="1"/>
  <c r="D282" i="1"/>
  <c r="E282" i="1"/>
  <c r="F282" i="1"/>
  <c r="G282" i="1"/>
  <c r="H282" i="1"/>
  <c r="I282" i="1"/>
  <c r="J282" i="1"/>
  <c r="K282" i="1"/>
  <c r="L282" i="1"/>
  <c r="A283" i="1"/>
  <c r="B283" i="1"/>
  <c r="C283" i="1"/>
  <c r="D283" i="1"/>
  <c r="E283" i="1"/>
  <c r="F283" i="1"/>
  <c r="G283" i="1"/>
  <c r="H283" i="1"/>
  <c r="I283" i="1"/>
  <c r="J283" i="1"/>
  <c r="K283" i="1"/>
  <c r="L283" i="1"/>
  <c r="A284" i="1"/>
  <c r="B284" i="1"/>
  <c r="C284" i="1"/>
  <c r="D284" i="1"/>
  <c r="E284" i="1"/>
  <c r="F284" i="1"/>
  <c r="G284" i="1"/>
  <c r="H284" i="1"/>
  <c r="I284" i="1"/>
  <c r="J284" i="1"/>
  <c r="K284" i="1"/>
  <c r="L284" i="1"/>
  <c r="A285" i="1"/>
  <c r="B285" i="1"/>
  <c r="C285" i="1"/>
  <c r="D285" i="1"/>
  <c r="E285" i="1"/>
  <c r="F285" i="1"/>
  <c r="G285" i="1"/>
  <c r="H285" i="1"/>
  <c r="I285" i="1"/>
  <c r="J285" i="1"/>
  <c r="K285" i="1"/>
  <c r="L285" i="1"/>
  <c r="A286" i="1"/>
  <c r="B286" i="1"/>
  <c r="C286" i="1"/>
  <c r="D286" i="1"/>
  <c r="E286" i="1"/>
  <c r="F286" i="1"/>
  <c r="G286" i="1"/>
  <c r="H286" i="1"/>
  <c r="I286" i="1"/>
  <c r="J286" i="1"/>
  <c r="K286" i="1"/>
  <c r="L286" i="1"/>
  <c r="A287" i="1"/>
  <c r="B287" i="1"/>
  <c r="C287" i="1"/>
  <c r="D287" i="1"/>
  <c r="E287" i="1"/>
  <c r="F287" i="1"/>
  <c r="G287" i="1"/>
  <c r="H287" i="1"/>
  <c r="I287" i="1"/>
  <c r="J287" i="1"/>
  <c r="K287" i="1"/>
  <c r="L287" i="1"/>
  <c r="A288" i="1"/>
  <c r="B288" i="1"/>
  <c r="C288" i="1"/>
  <c r="D288" i="1"/>
  <c r="E288" i="1"/>
  <c r="F288" i="1"/>
  <c r="G288" i="1"/>
  <c r="H288" i="1"/>
  <c r="I288" i="1"/>
  <c r="J288" i="1"/>
  <c r="K288" i="1"/>
  <c r="L288" i="1"/>
  <c r="A289" i="1"/>
  <c r="B289" i="1"/>
  <c r="C289" i="1"/>
  <c r="D289" i="1"/>
  <c r="E289" i="1"/>
  <c r="F289" i="1"/>
  <c r="G289" i="1"/>
  <c r="H289" i="1"/>
  <c r="I289" i="1"/>
  <c r="J289" i="1"/>
  <c r="K289" i="1"/>
  <c r="L289" i="1"/>
  <c r="A290" i="1"/>
  <c r="B290" i="1"/>
  <c r="C290" i="1"/>
  <c r="D290" i="1"/>
  <c r="E290" i="1"/>
  <c r="F290" i="1"/>
  <c r="G290" i="1"/>
  <c r="H290" i="1"/>
  <c r="I290" i="1"/>
  <c r="J290" i="1"/>
  <c r="K290" i="1"/>
  <c r="L290" i="1"/>
  <c r="A291" i="1"/>
  <c r="B291" i="1"/>
  <c r="C291" i="1"/>
  <c r="D291" i="1"/>
  <c r="E291" i="1"/>
  <c r="F291" i="1"/>
  <c r="G291" i="1"/>
  <c r="H291" i="1"/>
  <c r="I291" i="1"/>
  <c r="J291" i="1"/>
  <c r="K291" i="1"/>
  <c r="L291" i="1"/>
  <c r="A292" i="1"/>
  <c r="B292" i="1"/>
  <c r="C292" i="1"/>
  <c r="D292" i="1"/>
  <c r="E292" i="1"/>
  <c r="F292" i="1"/>
  <c r="G292" i="1"/>
  <c r="H292" i="1"/>
  <c r="I292" i="1"/>
  <c r="J292" i="1"/>
  <c r="K292" i="1"/>
  <c r="L292" i="1"/>
  <c r="A293" i="1"/>
  <c r="B293" i="1"/>
  <c r="C293" i="1"/>
  <c r="D293" i="1"/>
  <c r="E293" i="1"/>
  <c r="F293" i="1"/>
  <c r="G293" i="1"/>
  <c r="H293" i="1"/>
  <c r="I293" i="1"/>
  <c r="J293" i="1"/>
  <c r="K293" i="1"/>
  <c r="L293" i="1"/>
  <c r="A294" i="1"/>
  <c r="B294" i="1"/>
  <c r="C294" i="1"/>
  <c r="D294" i="1"/>
  <c r="E294" i="1"/>
  <c r="F294" i="1"/>
  <c r="G294" i="1"/>
  <c r="H294" i="1"/>
  <c r="I294" i="1"/>
  <c r="J294" i="1"/>
  <c r="K294" i="1"/>
  <c r="L294" i="1"/>
  <c r="A295" i="1"/>
  <c r="B295" i="1"/>
  <c r="C295" i="1"/>
  <c r="D295" i="1"/>
  <c r="E295" i="1"/>
  <c r="F295" i="1"/>
  <c r="G295" i="1"/>
  <c r="H295" i="1"/>
  <c r="I295" i="1"/>
  <c r="J295" i="1"/>
  <c r="K295" i="1"/>
  <c r="L295" i="1"/>
  <c r="A296" i="1"/>
  <c r="B296" i="1"/>
  <c r="C296" i="1"/>
  <c r="D296" i="1"/>
  <c r="E296" i="1"/>
  <c r="F296" i="1"/>
  <c r="G296" i="1"/>
  <c r="H296" i="1"/>
  <c r="I296" i="1"/>
  <c r="J296" i="1"/>
  <c r="K296" i="1"/>
  <c r="L296" i="1"/>
  <c r="A297" i="1"/>
  <c r="B297" i="1"/>
  <c r="C297" i="1"/>
  <c r="D297" i="1"/>
  <c r="E297" i="1"/>
  <c r="F297" i="1"/>
  <c r="G297" i="1"/>
  <c r="H297" i="1"/>
  <c r="I297" i="1"/>
  <c r="J297" i="1"/>
  <c r="K297" i="1"/>
  <c r="L297" i="1"/>
  <c r="A298" i="1"/>
  <c r="B298" i="1"/>
  <c r="C298" i="1"/>
  <c r="D298" i="1"/>
  <c r="E298" i="1"/>
  <c r="F298" i="1"/>
  <c r="G298" i="1"/>
  <c r="H298" i="1"/>
  <c r="I298" i="1"/>
  <c r="J298" i="1"/>
  <c r="K298" i="1"/>
  <c r="L298" i="1"/>
  <c r="A299" i="1"/>
  <c r="B299" i="1"/>
  <c r="C299" i="1"/>
  <c r="D299" i="1"/>
  <c r="E299" i="1"/>
  <c r="F299" i="1"/>
  <c r="G299" i="1"/>
  <c r="H299" i="1"/>
  <c r="I299" i="1"/>
  <c r="J299" i="1"/>
  <c r="K299" i="1"/>
  <c r="L299" i="1"/>
  <c r="A300" i="1"/>
  <c r="B300" i="1"/>
  <c r="C300" i="1"/>
  <c r="D300" i="1"/>
  <c r="E300" i="1"/>
  <c r="F300" i="1"/>
  <c r="G300" i="1"/>
  <c r="H300" i="1"/>
  <c r="I300" i="1"/>
  <c r="J300" i="1"/>
  <c r="K300" i="1"/>
  <c r="L300" i="1"/>
  <c r="A301" i="1"/>
  <c r="B301" i="1"/>
  <c r="C301" i="1"/>
  <c r="D301" i="1"/>
  <c r="E301" i="1"/>
  <c r="F301" i="1"/>
  <c r="G301" i="1"/>
  <c r="H301" i="1"/>
  <c r="I301" i="1"/>
  <c r="J301" i="1"/>
  <c r="K301" i="1"/>
  <c r="L301" i="1"/>
  <c r="A302" i="1"/>
  <c r="B302" i="1"/>
  <c r="C302" i="1"/>
  <c r="D302" i="1"/>
  <c r="E302" i="1"/>
  <c r="F302" i="1"/>
  <c r="G302" i="1"/>
  <c r="H302" i="1"/>
  <c r="I302" i="1"/>
  <c r="J302" i="1"/>
  <c r="K302" i="1"/>
  <c r="L302" i="1"/>
  <c r="A303" i="1"/>
  <c r="B303" i="1"/>
  <c r="C303" i="1"/>
  <c r="D303" i="1"/>
  <c r="E303" i="1"/>
  <c r="F303" i="1"/>
  <c r="G303" i="1"/>
  <c r="H303" i="1"/>
  <c r="I303" i="1"/>
  <c r="J303" i="1"/>
  <c r="K303" i="1"/>
  <c r="L303" i="1"/>
  <c r="A304" i="1"/>
  <c r="B304" i="1"/>
  <c r="C304" i="1"/>
  <c r="D304" i="1"/>
  <c r="E304" i="1"/>
  <c r="F304" i="1"/>
  <c r="G304" i="1"/>
  <c r="H304" i="1"/>
  <c r="I304" i="1"/>
  <c r="J304" i="1"/>
  <c r="K304" i="1"/>
  <c r="L304" i="1"/>
  <c r="A305" i="1"/>
  <c r="B305" i="1"/>
  <c r="C305" i="1"/>
  <c r="D305" i="1"/>
  <c r="E305" i="1"/>
  <c r="F305" i="1"/>
  <c r="G305" i="1"/>
  <c r="H305" i="1"/>
  <c r="I305" i="1"/>
  <c r="J305" i="1"/>
  <c r="K305" i="1"/>
  <c r="L305" i="1"/>
  <c r="A306" i="1"/>
  <c r="B306" i="1"/>
  <c r="C306" i="1"/>
  <c r="D306" i="1"/>
  <c r="E306" i="1"/>
  <c r="F306" i="1"/>
  <c r="G306" i="1"/>
  <c r="H306" i="1"/>
  <c r="I306" i="1"/>
  <c r="J306" i="1"/>
  <c r="K306" i="1"/>
  <c r="L306" i="1"/>
  <c r="A307" i="1"/>
  <c r="B307" i="1"/>
  <c r="C307" i="1"/>
  <c r="D307" i="1"/>
  <c r="E307" i="1"/>
  <c r="F307" i="1"/>
  <c r="G307" i="1"/>
  <c r="H307" i="1"/>
  <c r="I307" i="1"/>
  <c r="J307" i="1"/>
  <c r="K307" i="1"/>
  <c r="L307" i="1"/>
  <c r="A308" i="1"/>
  <c r="B308" i="1"/>
  <c r="C308" i="1"/>
  <c r="D308" i="1"/>
  <c r="E308" i="1"/>
  <c r="F308" i="1"/>
  <c r="G308" i="1"/>
  <c r="H308" i="1"/>
  <c r="I308" i="1"/>
  <c r="J308" i="1"/>
  <c r="K308" i="1"/>
  <c r="L308" i="1"/>
  <c r="A309" i="1"/>
  <c r="B309" i="1"/>
  <c r="C309" i="1"/>
  <c r="D309" i="1"/>
  <c r="E309" i="1"/>
  <c r="F309" i="1"/>
  <c r="G309" i="1"/>
  <c r="H309" i="1"/>
  <c r="I309" i="1"/>
  <c r="J309" i="1"/>
  <c r="K309" i="1"/>
  <c r="L309" i="1"/>
  <c r="A310" i="1"/>
  <c r="B310" i="1"/>
  <c r="C310" i="1"/>
  <c r="D310" i="1"/>
  <c r="E310" i="1"/>
  <c r="F310" i="1"/>
  <c r="G310" i="1"/>
  <c r="H310" i="1"/>
  <c r="I310" i="1"/>
  <c r="J310" i="1"/>
  <c r="K310" i="1"/>
  <c r="L310" i="1"/>
  <c r="A311" i="1"/>
  <c r="B311" i="1"/>
  <c r="C311" i="1"/>
  <c r="D311" i="1"/>
  <c r="E311" i="1"/>
  <c r="F311" i="1"/>
  <c r="G311" i="1"/>
  <c r="H311" i="1"/>
  <c r="I311" i="1"/>
  <c r="J311" i="1"/>
  <c r="K311" i="1"/>
  <c r="L311" i="1"/>
  <c r="A312" i="1"/>
  <c r="B312" i="1"/>
  <c r="C312" i="1"/>
  <c r="D312" i="1"/>
  <c r="E312" i="1"/>
  <c r="F312" i="1"/>
  <c r="G312" i="1"/>
  <c r="H312" i="1"/>
  <c r="I312" i="1"/>
  <c r="J312" i="1"/>
  <c r="K312" i="1"/>
  <c r="L312" i="1"/>
  <c r="A313" i="1"/>
  <c r="B313" i="1"/>
  <c r="C313" i="1"/>
  <c r="D313" i="1"/>
  <c r="E313" i="1"/>
  <c r="F313" i="1"/>
  <c r="G313" i="1"/>
  <c r="H313" i="1"/>
  <c r="I313" i="1"/>
  <c r="J313" i="1"/>
  <c r="K313" i="1"/>
  <c r="L313" i="1"/>
  <c r="A314" i="1"/>
  <c r="B314" i="1"/>
  <c r="C314" i="1"/>
  <c r="D314" i="1"/>
  <c r="E314" i="1"/>
  <c r="F314" i="1"/>
  <c r="G314" i="1"/>
  <c r="H314" i="1"/>
  <c r="I314" i="1"/>
  <c r="J314" i="1"/>
  <c r="K314" i="1"/>
  <c r="L314" i="1"/>
  <c r="A315" i="1"/>
  <c r="B315" i="1"/>
  <c r="C315" i="1"/>
  <c r="D315" i="1"/>
  <c r="E315" i="1"/>
  <c r="F315" i="1"/>
  <c r="G315" i="1"/>
  <c r="H315" i="1"/>
  <c r="I315" i="1"/>
  <c r="J315" i="1"/>
  <c r="K315" i="1"/>
  <c r="L315" i="1"/>
  <c r="A316" i="1"/>
  <c r="B316" i="1"/>
  <c r="C316" i="1"/>
  <c r="D316" i="1"/>
  <c r="E316" i="1"/>
  <c r="F316" i="1"/>
  <c r="G316" i="1"/>
  <c r="H316" i="1"/>
  <c r="I316" i="1"/>
  <c r="J316" i="1"/>
  <c r="K316" i="1"/>
  <c r="L316" i="1"/>
  <c r="A317" i="1"/>
  <c r="B317" i="1"/>
  <c r="C317" i="1"/>
  <c r="D317" i="1"/>
  <c r="E317" i="1"/>
  <c r="F317" i="1"/>
  <c r="G317" i="1"/>
  <c r="H317" i="1"/>
  <c r="I317" i="1"/>
  <c r="J317" i="1"/>
  <c r="K317" i="1"/>
  <c r="L317" i="1"/>
  <c r="A318" i="1"/>
  <c r="B318" i="1"/>
  <c r="C318" i="1"/>
  <c r="D318" i="1"/>
  <c r="E318" i="1"/>
  <c r="F318" i="1"/>
  <c r="G318" i="1"/>
  <c r="H318" i="1"/>
  <c r="I318" i="1"/>
  <c r="J318" i="1"/>
  <c r="K318" i="1"/>
  <c r="L318" i="1"/>
  <c r="A319" i="1"/>
  <c r="B319" i="1"/>
  <c r="C319" i="1"/>
  <c r="D319" i="1"/>
  <c r="E319" i="1"/>
  <c r="F319" i="1"/>
  <c r="G319" i="1"/>
  <c r="H319" i="1"/>
  <c r="I319" i="1"/>
  <c r="J319" i="1"/>
  <c r="K319" i="1"/>
  <c r="L319" i="1"/>
  <c r="A320" i="1"/>
  <c r="B320" i="1"/>
  <c r="C320" i="1"/>
  <c r="D320" i="1"/>
  <c r="E320" i="1"/>
  <c r="F320" i="1"/>
  <c r="G320" i="1"/>
  <c r="H320" i="1"/>
  <c r="I320" i="1"/>
  <c r="J320" i="1"/>
  <c r="K320" i="1"/>
  <c r="L320" i="1"/>
  <c r="A321" i="1"/>
  <c r="B321" i="1"/>
  <c r="C321" i="1"/>
  <c r="D321" i="1"/>
  <c r="E321" i="1"/>
  <c r="F321" i="1"/>
  <c r="G321" i="1"/>
  <c r="H321" i="1"/>
  <c r="I321" i="1"/>
  <c r="J321" i="1"/>
  <c r="K321" i="1"/>
  <c r="L321" i="1"/>
  <c r="A322" i="1"/>
  <c r="B322" i="1"/>
  <c r="C322" i="1"/>
  <c r="D322" i="1"/>
  <c r="E322" i="1"/>
  <c r="F322" i="1"/>
  <c r="G322" i="1"/>
  <c r="H322" i="1"/>
  <c r="I322" i="1"/>
  <c r="J322" i="1"/>
  <c r="K322" i="1"/>
  <c r="L322" i="1"/>
  <c r="A323" i="1"/>
  <c r="B323" i="1"/>
  <c r="C323" i="1"/>
  <c r="D323" i="1"/>
  <c r="E323" i="1"/>
  <c r="F323" i="1"/>
  <c r="G323" i="1"/>
  <c r="H323" i="1"/>
  <c r="I323" i="1"/>
  <c r="J323" i="1"/>
  <c r="K323" i="1"/>
  <c r="L323" i="1"/>
  <c r="A324" i="1"/>
  <c r="B324" i="1"/>
  <c r="C324" i="1"/>
  <c r="D324" i="1"/>
  <c r="E324" i="1"/>
  <c r="F324" i="1"/>
  <c r="G324" i="1"/>
  <c r="H324" i="1"/>
  <c r="I324" i="1"/>
  <c r="J324" i="1"/>
  <c r="K324" i="1"/>
  <c r="L324" i="1"/>
  <c r="A325" i="1"/>
  <c r="B325" i="1"/>
  <c r="C325" i="1"/>
  <c r="D325" i="1"/>
  <c r="E325" i="1"/>
  <c r="F325" i="1"/>
  <c r="G325" i="1"/>
  <c r="H325" i="1"/>
  <c r="I325" i="1"/>
  <c r="J325" i="1"/>
  <c r="K325" i="1"/>
  <c r="L325" i="1"/>
  <c r="A326" i="1"/>
  <c r="B326" i="1"/>
  <c r="C326" i="1"/>
  <c r="D326" i="1"/>
  <c r="E326" i="1"/>
  <c r="F326" i="1"/>
  <c r="G326" i="1"/>
  <c r="H326" i="1"/>
  <c r="I326" i="1"/>
  <c r="J326" i="1"/>
  <c r="K326" i="1"/>
  <c r="L326" i="1"/>
  <c r="A327" i="1"/>
  <c r="B327" i="1"/>
  <c r="C327" i="1"/>
  <c r="D327" i="1"/>
  <c r="E327" i="1"/>
  <c r="F327" i="1"/>
  <c r="G327" i="1"/>
  <c r="H327" i="1"/>
  <c r="I327" i="1"/>
  <c r="J327" i="1"/>
  <c r="K327" i="1"/>
  <c r="L327" i="1"/>
  <c r="A328" i="1"/>
  <c r="B328" i="1"/>
  <c r="C328" i="1"/>
  <c r="D328" i="1"/>
  <c r="E328" i="1"/>
  <c r="F328" i="1"/>
  <c r="G328" i="1"/>
  <c r="H328" i="1"/>
  <c r="I328" i="1"/>
  <c r="J328" i="1"/>
  <c r="K328" i="1"/>
  <c r="L328" i="1"/>
  <c r="A329" i="1"/>
  <c r="B329" i="1"/>
  <c r="C329" i="1"/>
  <c r="D329" i="1"/>
  <c r="E329" i="1"/>
  <c r="F329" i="1"/>
  <c r="G329" i="1"/>
  <c r="H329" i="1"/>
  <c r="I329" i="1"/>
  <c r="J329" i="1"/>
  <c r="K329" i="1"/>
  <c r="L329" i="1"/>
  <c r="A330" i="1"/>
  <c r="B330" i="1"/>
  <c r="C330" i="1"/>
  <c r="D330" i="1"/>
  <c r="E330" i="1"/>
  <c r="F330" i="1"/>
  <c r="G330" i="1"/>
  <c r="H330" i="1"/>
  <c r="I330" i="1"/>
  <c r="J330" i="1"/>
  <c r="K330" i="1"/>
  <c r="L330" i="1"/>
  <c r="A331" i="1"/>
  <c r="B331" i="1"/>
  <c r="C331" i="1"/>
  <c r="D331" i="1"/>
  <c r="E331" i="1"/>
  <c r="F331" i="1"/>
  <c r="G331" i="1"/>
  <c r="H331" i="1"/>
  <c r="I331" i="1"/>
  <c r="J331" i="1"/>
  <c r="K331" i="1"/>
  <c r="L331" i="1"/>
  <c r="A332" i="1"/>
  <c r="B332" i="1"/>
  <c r="C332" i="1"/>
  <c r="D332" i="1"/>
  <c r="E332" i="1"/>
  <c r="F332" i="1"/>
  <c r="G332" i="1"/>
  <c r="H332" i="1"/>
  <c r="I332" i="1"/>
  <c r="J332" i="1"/>
  <c r="K332" i="1"/>
  <c r="L332" i="1"/>
  <c r="A333" i="1"/>
  <c r="B333" i="1"/>
  <c r="C333" i="1"/>
  <c r="D333" i="1"/>
  <c r="E333" i="1"/>
  <c r="F333" i="1"/>
  <c r="G333" i="1"/>
  <c r="H333" i="1"/>
  <c r="I333" i="1"/>
  <c r="J333" i="1"/>
  <c r="K333" i="1"/>
  <c r="L333" i="1"/>
  <c r="A334" i="1"/>
  <c r="B334" i="1"/>
  <c r="C334" i="1"/>
  <c r="D334" i="1"/>
  <c r="E334" i="1"/>
  <c r="F334" i="1"/>
  <c r="G334" i="1"/>
  <c r="H334" i="1"/>
  <c r="I334" i="1"/>
  <c r="J334" i="1"/>
  <c r="K334" i="1"/>
  <c r="L334" i="1"/>
  <c r="A335" i="1"/>
  <c r="B335" i="1"/>
  <c r="C335" i="1"/>
  <c r="D335" i="1"/>
  <c r="E335" i="1"/>
  <c r="F335" i="1"/>
  <c r="G335" i="1"/>
  <c r="H335" i="1"/>
  <c r="I335" i="1"/>
  <c r="J335" i="1"/>
  <c r="K335" i="1"/>
  <c r="L335" i="1"/>
  <c r="A336" i="1"/>
  <c r="B336" i="1"/>
  <c r="C336" i="1"/>
  <c r="D336" i="1"/>
  <c r="E336" i="1"/>
  <c r="F336" i="1"/>
  <c r="G336" i="1"/>
  <c r="H336" i="1"/>
  <c r="I336" i="1"/>
  <c r="J336" i="1"/>
  <c r="K336" i="1"/>
  <c r="L336" i="1"/>
  <c r="A337" i="1"/>
  <c r="B337" i="1"/>
  <c r="C337" i="1"/>
  <c r="D337" i="1"/>
  <c r="E337" i="1"/>
  <c r="F337" i="1"/>
  <c r="G337" i="1"/>
  <c r="H337" i="1"/>
  <c r="I337" i="1"/>
  <c r="J337" i="1"/>
  <c r="K337" i="1"/>
  <c r="L337" i="1"/>
  <c r="A338" i="1"/>
  <c r="B338" i="1"/>
  <c r="C338" i="1"/>
  <c r="D338" i="1"/>
  <c r="E338" i="1"/>
  <c r="F338" i="1"/>
  <c r="G338" i="1"/>
  <c r="H338" i="1"/>
  <c r="I338" i="1"/>
  <c r="J338" i="1"/>
  <c r="K338" i="1"/>
  <c r="L338" i="1"/>
  <c r="A339" i="1"/>
  <c r="B339" i="1"/>
  <c r="C339" i="1"/>
  <c r="D339" i="1"/>
  <c r="E339" i="1"/>
  <c r="F339" i="1"/>
  <c r="G339" i="1"/>
  <c r="H339" i="1"/>
  <c r="I339" i="1"/>
  <c r="J339" i="1"/>
  <c r="K339" i="1"/>
  <c r="L339" i="1"/>
  <c r="A340" i="1"/>
  <c r="B340" i="1"/>
  <c r="C340" i="1"/>
  <c r="D340" i="1"/>
  <c r="E340" i="1"/>
  <c r="F340" i="1"/>
  <c r="G340" i="1"/>
  <c r="H340" i="1"/>
  <c r="I340" i="1"/>
  <c r="J340" i="1"/>
  <c r="K340" i="1"/>
  <c r="L340" i="1"/>
  <c r="A341" i="1"/>
  <c r="B341" i="1"/>
  <c r="C341" i="1"/>
  <c r="D341" i="1"/>
  <c r="E341" i="1"/>
  <c r="F341" i="1"/>
  <c r="G341" i="1"/>
  <c r="H341" i="1"/>
  <c r="I341" i="1"/>
  <c r="J341" i="1"/>
  <c r="K341" i="1"/>
  <c r="L341" i="1"/>
  <c r="A342" i="1"/>
  <c r="B342" i="1"/>
  <c r="C342" i="1"/>
  <c r="D342" i="1"/>
  <c r="E342" i="1"/>
  <c r="F342" i="1"/>
  <c r="G342" i="1"/>
  <c r="H342" i="1"/>
  <c r="I342" i="1"/>
  <c r="J342" i="1"/>
  <c r="K342" i="1"/>
  <c r="L342" i="1"/>
  <c r="A343" i="1"/>
  <c r="B343" i="1"/>
  <c r="C343" i="1"/>
  <c r="D343" i="1"/>
  <c r="E343" i="1"/>
  <c r="F343" i="1"/>
  <c r="G343" i="1"/>
  <c r="H343" i="1"/>
  <c r="I343" i="1"/>
  <c r="J343" i="1"/>
  <c r="K343" i="1"/>
  <c r="L343" i="1"/>
  <c r="A344" i="1"/>
  <c r="B344" i="1"/>
  <c r="C344" i="1"/>
  <c r="D344" i="1"/>
  <c r="E344" i="1"/>
  <c r="F344" i="1"/>
  <c r="G344" i="1"/>
  <c r="H344" i="1"/>
  <c r="I344" i="1"/>
  <c r="J344" i="1"/>
  <c r="K344" i="1"/>
  <c r="L344" i="1"/>
  <c r="A345" i="1"/>
  <c r="B345" i="1"/>
  <c r="C345" i="1"/>
  <c r="D345" i="1"/>
  <c r="E345" i="1"/>
  <c r="F345" i="1"/>
  <c r="G345" i="1"/>
  <c r="H345" i="1"/>
  <c r="I345" i="1"/>
  <c r="J345" i="1"/>
  <c r="K345" i="1"/>
  <c r="L345" i="1"/>
  <c r="A346" i="1"/>
  <c r="B346" i="1"/>
  <c r="C346" i="1"/>
  <c r="D346" i="1"/>
  <c r="E346" i="1"/>
  <c r="F346" i="1"/>
  <c r="G346" i="1"/>
  <c r="H346" i="1"/>
  <c r="I346" i="1"/>
  <c r="J346" i="1"/>
  <c r="K346" i="1"/>
  <c r="L346" i="1"/>
  <c r="A347" i="1"/>
  <c r="B347" i="1"/>
  <c r="C347" i="1"/>
  <c r="D347" i="1"/>
  <c r="E347" i="1"/>
  <c r="F347" i="1"/>
  <c r="G347" i="1"/>
  <c r="H347" i="1"/>
  <c r="I347" i="1"/>
  <c r="J347" i="1"/>
  <c r="K347" i="1"/>
  <c r="L347" i="1"/>
  <c r="A348" i="1"/>
  <c r="B348" i="1"/>
  <c r="C348" i="1"/>
  <c r="D348" i="1"/>
  <c r="E348" i="1"/>
  <c r="F348" i="1"/>
  <c r="G348" i="1"/>
  <c r="H348" i="1"/>
  <c r="I348" i="1"/>
  <c r="J348" i="1"/>
  <c r="K348" i="1"/>
  <c r="L348" i="1"/>
  <c r="A349" i="1"/>
  <c r="B349" i="1"/>
  <c r="C349" i="1"/>
  <c r="D349" i="1"/>
  <c r="E349" i="1"/>
  <c r="F349" i="1"/>
  <c r="G349" i="1"/>
  <c r="H349" i="1"/>
  <c r="I349" i="1"/>
  <c r="J349" i="1"/>
  <c r="K349" i="1"/>
  <c r="L349" i="1"/>
  <c r="A350" i="1"/>
  <c r="B350" i="1"/>
  <c r="C350" i="1"/>
  <c r="D350" i="1"/>
  <c r="E350" i="1"/>
  <c r="F350" i="1"/>
  <c r="G350" i="1"/>
  <c r="H350" i="1"/>
  <c r="I350" i="1"/>
  <c r="J350" i="1"/>
  <c r="K350" i="1"/>
  <c r="L350" i="1"/>
  <c r="A351" i="1"/>
  <c r="B351" i="1"/>
  <c r="C351" i="1"/>
  <c r="D351" i="1"/>
  <c r="E351" i="1"/>
  <c r="F351" i="1"/>
  <c r="G351" i="1"/>
  <c r="H351" i="1"/>
  <c r="I351" i="1"/>
  <c r="J351" i="1"/>
  <c r="K351" i="1"/>
  <c r="L351" i="1"/>
  <c r="A352" i="1"/>
  <c r="B352" i="1"/>
  <c r="C352" i="1"/>
  <c r="D352" i="1"/>
  <c r="E352" i="1"/>
  <c r="F352" i="1"/>
  <c r="G352" i="1"/>
  <c r="H352" i="1"/>
  <c r="I352" i="1"/>
  <c r="J352" i="1"/>
  <c r="K352" i="1"/>
  <c r="L352" i="1"/>
  <c r="A353" i="1"/>
  <c r="B353" i="1"/>
  <c r="C353" i="1"/>
  <c r="D353" i="1"/>
  <c r="E353" i="1"/>
  <c r="F353" i="1"/>
  <c r="G353" i="1"/>
  <c r="H353" i="1"/>
  <c r="I353" i="1"/>
  <c r="J353" i="1"/>
  <c r="K353" i="1"/>
  <c r="L353" i="1"/>
  <c r="A354" i="1"/>
  <c r="B354" i="1"/>
  <c r="C354" i="1"/>
  <c r="D354" i="1"/>
  <c r="E354" i="1"/>
  <c r="F354" i="1"/>
  <c r="G354" i="1"/>
  <c r="H354" i="1"/>
  <c r="I354" i="1"/>
  <c r="J354" i="1"/>
  <c r="K354" i="1"/>
  <c r="L354" i="1"/>
  <c r="A355" i="1"/>
  <c r="B355" i="1"/>
  <c r="C355" i="1"/>
  <c r="D355" i="1"/>
  <c r="E355" i="1"/>
  <c r="F355" i="1"/>
  <c r="G355" i="1"/>
  <c r="H355" i="1"/>
  <c r="I355" i="1"/>
  <c r="J355" i="1"/>
  <c r="K355" i="1"/>
  <c r="L355" i="1"/>
  <c r="A356" i="1"/>
  <c r="B356" i="1"/>
  <c r="C356" i="1"/>
  <c r="D356" i="1"/>
  <c r="E356" i="1"/>
  <c r="F356" i="1"/>
  <c r="G356" i="1"/>
  <c r="H356" i="1"/>
  <c r="I356" i="1"/>
  <c r="J356" i="1"/>
  <c r="K356" i="1"/>
  <c r="L356" i="1"/>
  <c r="A357" i="1"/>
  <c r="B357" i="1"/>
  <c r="C357" i="1"/>
  <c r="D357" i="1"/>
  <c r="E357" i="1"/>
  <c r="F357" i="1"/>
  <c r="G357" i="1"/>
  <c r="H357" i="1"/>
  <c r="I357" i="1"/>
  <c r="J357" i="1"/>
  <c r="K357" i="1"/>
  <c r="L357" i="1"/>
  <c r="A358" i="1"/>
  <c r="B358" i="1"/>
  <c r="C358" i="1"/>
  <c r="D358" i="1"/>
  <c r="E358" i="1"/>
  <c r="F358" i="1"/>
  <c r="G358" i="1"/>
  <c r="H358" i="1"/>
  <c r="I358" i="1"/>
  <c r="J358" i="1"/>
  <c r="K358" i="1"/>
  <c r="L358" i="1"/>
  <c r="A359" i="1"/>
  <c r="B359" i="1"/>
  <c r="C359" i="1"/>
  <c r="D359" i="1"/>
  <c r="E359" i="1"/>
  <c r="F359" i="1"/>
  <c r="G359" i="1"/>
  <c r="H359" i="1"/>
  <c r="I359" i="1"/>
  <c r="J359" i="1"/>
  <c r="K359" i="1"/>
  <c r="L359" i="1"/>
  <c r="A360" i="1"/>
  <c r="B360" i="1"/>
  <c r="C360" i="1"/>
  <c r="D360" i="1"/>
  <c r="E360" i="1"/>
  <c r="F360" i="1"/>
  <c r="G360" i="1"/>
  <c r="H360" i="1"/>
  <c r="I360" i="1"/>
  <c r="J360" i="1"/>
  <c r="K360" i="1"/>
  <c r="L360" i="1"/>
  <c r="A361" i="1"/>
  <c r="B361" i="1"/>
  <c r="C361" i="1"/>
  <c r="D361" i="1"/>
  <c r="E361" i="1"/>
  <c r="F361" i="1"/>
  <c r="G361" i="1"/>
  <c r="H361" i="1"/>
  <c r="I361" i="1"/>
  <c r="J361" i="1"/>
  <c r="K361" i="1"/>
  <c r="L361" i="1"/>
  <c r="A362" i="1"/>
  <c r="B362" i="1"/>
  <c r="C362" i="1"/>
  <c r="D362" i="1"/>
  <c r="E362" i="1"/>
  <c r="F362" i="1"/>
  <c r="G362" i="1"/>
  <c r="H362" i="1"/>
  <c r="I362" i="1"/>
  <c r="J362" i="1"/>
  <c r="K362" i="1"/>
  <c r="L362" i="1"/>
  <c r="A363" i="1"/>
  <c r="B363" i="1"/>
  <c r="C363" i="1"/>
  <c r="D363" i="1"/>
  <c r="E363" i="1"/>
  <c r="F363" i="1"/>
  <c r="G363" i="1"/>
  <c r="H363" i="1"/>
  <c r="I363" i="1"/>
  <c r="J363" i="1"/>
  <c r="K363" i="1"/>
  <c r="L363" i="1"/>
  <c r="A364" i="1"/>
  <c r="B364" i="1"/>
  <c r="C364" i="1"/>
  <c r="D364" i="1"/>
  <c r="E364" i="1"/>
  <c r="F364" i="1"/>
  <c r="G364" i="1"/>
  <c r="H364" i="1"/>
  <c r="I364" i="1"/>
  <c r="J364" i="1"/>
  <c r="K364" i="1"/>
  <c r="L364" i="1"/>
  <c r="A365" i="1"/>
  <c r="B365" i="1"/>
  <c r="C365" i="1"/>
  <c r="D365" i="1"/>
  <c r="E365" i="1"/>
  <c r="F365" i="1"/>
  <c r="G365" i="1"/>
  <c r="H365" i="1"/>
  <c r="I365" i="1"/>
  <c r="J365" i="1"/>
  <c r="K365" i="1"/>
  <c r="L365" i="1"/>
  <c r="A366" i="1"/>
  <c r="B366" i="1"/>
  <c r="C366" i="1"/>
  <c r="D366" i="1"/>
  <c r="E366" i="1"/>
  <c r="F366" i="1"/>
  <c r="G366" i="1"/>
  <c r="H366" i="1"/>
  <c r="I366" i="1"/>
  <c r="J366" i="1"/>
  <c r="K366" i="1"/>
  <c r="L366" i="1"/>
  <c r="A367" i="1"/>
  <c r="B367" i="1"/>
  <c r="C367" i="1"/>
  <c r="D367" i="1"/>
  <c r="E367" i="1"/>
  <c r="F367" i="1"/>
  <c r="G367" i="1"/>
  <c r="H367" i="1"/>
  <c r="I367" i="1"/>
  <c r="J367" i="1"/>
  <c r="K367" i="1"/>
  <c r="L367" i="1"/>
  <c r="A368" i="1"/>
  <c r="B368" i="1"/>
  <c r="C368" i="1"/>
  <c r="D368" i="1"/>
  <c r="E368" i="1"/>
  <c r="F368" i="1"/>
  <c r="G368" i="1"/>
  <c r="H368" i="1"/>
  <c r="I368" i="1"/>
  <c r="J368" i="1"/>
  <c r="K368" i="1"/>
  <c r="L368" i="1"/>
  <c r="A369" i="1"/>
  <c r="B369" i="1"/>
  <c r="C369" i="1"/>
  <c r="D369" i="1"/>
  <c r="E369" i="1"/>
  <c r="F369" i="1"/>
  <c r="G369" i="1"/>
  <c r="H369" i="1"/>
  <c r="I369" i="1"/>
  <c r="J369" i="1"/>
  <c r="K369" i="1"/>
  <c r="L369" i="1"/>
  <c r="A370" i="1"/>
  <c r="B370" i="1"/>
  <c r="C370" i="1"/>
  <c r="D370" i="1"/>
  <c r="E370" i="1"/>
  <c r="F370" i="1"/>
  <c r="G370" i="1"/>
  <c r="H370" i="1"/>
  <c r="I370" i="1"/>
  <c r="J370" i="1"/>
  <c r="K370" i="1"/>
  <c r="L370" i="1"/>
  <c r="A371" i="1"/>
  <c r="B371" i="1"/>
  <c r="C371" i="1"/>
  <c r="D371" i="1"/>
  <c r="E371" i="1"/>
  <c r="F371" i="1"/>
  <c r="G371" i="1"/>
  <c r="H371" i="1"/>
  <c r="I371" i="1"/>
  <c r="J371" i="1"/>
  <c r="K371" i="1"/>
  <c r="L371" i="1"/>
  <c r="A372" i="1"/>
  <c r="B372" i="1"/>
  <c r="C372" i="1"/>
  <c r="D372" i="1"/>
  <c r="E372" i="1"/>
  <c r="F372" i="1"/>
  <c r="G372" i="1"/>
  <c r="H372" i="1"/>
  <c r="I372" i="1"/>
  <c r="J372" i="1"/>
  <c r="K372" i="1"/>
  <c r="L372" i="1"/>
  <c r="A373" i="1"/>
  <c r="B373" i="1"/>
  <c r="C373" i="1"/>
  <c r="D373" i="1"/>
  <c r="E373" i="1"/>
  <c r="F373" i="1"/>
  <c r="G373" i="1"/>
  <c r="H373" i="1"/>
  <c r="I373" i="1"/>
  <c r="J373" i="1"/>
  <c r="K373" i="1"/>
  <c r="L373" i="1"/>
  <c r="A374" i="1"/>
  <c r="B374" i="1"/>
  <c r="C374" i="1"/>
  <c r="D374" i="1"/>
  <c r="E374" i="1"/>
  <c r="F374" i="1"/>
  <c r="G374" i="1"/>
  <c r="H374" i="1"/>
  <c r="I374" i="1"/>
  <c r="J374" i="1"/>
  <c r="K374" i="1"/>
  <c r="L374" i="1"/>
  <c r="A375" i="1"/>
  <c r="B375" i="1"/>
  <c r="C375" i="1"/>
  <c r="D375" i="1"/>
  <c r="E375" i="1"/>
  <c r="F375" i="1"/>
  <c r="G375" i="1"/>
  <c r="H375" i="1"/>
  <c r="I375" i="1"/>
  <c r="J375" i="1"/>
  <c r="K375" i="1"/>
  <c r="L375" i="1"/>
  <c r="A376" i="1"/>
  <c r="B376" i="1"/>
  <c r="C376" i="1"/>
  <c r="D376" i="1"/>
  <c r="E376" i="1"/>
  <c r="F376" i="1"/>
  <c r="G376" i="1"/>
  <c r="H376" i="1"/>
  <c r="I376" i="1"/>
  <c r="J376" i="1"/>
  <c r="K376" i="1"/>
  <c r="L376" i="1"/>
  <c r="A377" i="1"/>
  <c r="B377" i="1"/>
  <c r="C377" i="1"/>
  <c r="D377" i="1"/>
  <c r="E377" i="1"/>
  <c r="F377" i="1"/>
  <c r="G377" i="1"/>
  <c r="H377" i="1"/>
  <c r="I377" i="1"/>
  <c r="J377" i="1"/>
  <c r="K377" i="1"/>
  <c r="L377" i="1"/>
  <c r="A378" i="1"/>
  <c r="B378" i="1"/>
  <c r="C378" i="1"/>
  <c r="D378" i="1"/>
  <c r="E378" i="1"/>
  <c r="F378" i="1"/>
  <c r="G378" i="1"/>
  <c r="H378" i="1"/>
  <c r="I378" i="1"/>
  <c r="J378" i="1"/>
  <c r="K378" i="1"/>
  <c r="L378" i="1"/>
  <c r="A379" i="1"/>
  <c r="B379" i="1"/>
  <c r="C379" i="1"/>
  <c r="D379" i="1"/>
  <c r="E379" i="1"/>
  <c r="F379" i="1"/>
  <c r="G379" i="1"/>
  <c r="H379" i="1"/>
  <c r="I379" i="1"/>
  <c r="J379" i="1"/>
  <c r="K379" i="1"/>
  <c r="L379" i="1"/>
  <c r="A380" i="1"/>
  <c r="B380" i="1"/>
  <c r="C380" i="1"/>
  <c r="D380" i="1"/>
  <c r="E380" i="1"/>
  <c r="F380" i="1"/>
  <c r="G380" i="1"/>
  <c r="H380" i="1"/>
  <c r="I380" i="1"/>
  <c r="J380" i="1"/>
  <c r="K380" i="1"/>
  <c r="L380" i="1"/>
  <c r="A381" i="1"/>
  <c r="B381" i="1"/>
  <c r="C381" i="1"/>
  <c r="D381" i="1"/>
  <c r="E381" i="1"/>
  <c r="F381" i="1"/>
  <c r="G381" i="1"/>
  <c r="H381" i="1"/>
  <c r="I381" i="1"/>
  <c r="J381" i="1"/>
  <c r="K381" i="1"/>
  <c r="L381" i="1"/>
  <c r="A382" i="1"/>
  <c r="B382" i="1"/>
  <c r="C382" i="1"/>
  <c r="D382" i="1"/>
  <c r="E382" i="1"/>
  <c r="F382" i="1"/>
  <c r="G382" i="1"/>
  <c r="H382" i="1"/>
  <c r="I382" i="1"/>
  <c r="J382" i="1"/>
  <c r="K382" i="1"/>
  <c r="L382" i="1"/>
  <c r="A383" i="1"/>
  <c r="B383" i="1"/>
  <c r="C383" i="1"/>
  <c r="D383" i="1"/>
  <c r="E383" i="1"/>
  <c r="F383" i="1"/>
  <c r="G383" i="1"/>
  <c r="H383" i="1"/>
  <c r="I383" i="1"/>
  <c r="J383" i="1"/>
  <c r="K383" i="1"/>
  <c r="L383" i="1"/>
  <c r="A384" i="1"/>
  <c r="B384" i="1"/>
  <c r="C384" i="1"/>
  <c r="D384" i="1"/>
  <c r="E384" i="1"/>
  <c r="F384" i="1"/>
  <c r="G384" i="1"/>
  <c r="H384" i="1"/>
  <c r="I384" i="1"/>
  <c r="J384" i="1"/>
  <c r="K384" i="1"/>
  <c r="L384" i="1"/>
  <c r="A385" i="1"/>
  <c r="B385" i="1"/>
  <c r="C385" i="1"/>
  <c r="D385" i="1"/>
  <c r="E385" i="1"/>
  <c r="F385" i="1"/>
  <c r="G385" i="1"/>
  <c r="H385" i="1"/>
  <c r="I385" i="1"/>
  <c r="J385" i="1"/>
  <c r="K385" i="1"/>
  <c r="L385" i="1"/>
  <c r="A386" i="1"/>
  <c r="B386" i="1"/>
  <c r="C386" i="1"/>
  <c r="D386" i="1"/>
  <c r="E386" i="1"/>
  <c r="F386" i="1"/>
  <c r="G386" i="1"/>
  <c r="H386" i="1"/>
  <c r="I386" i="1"/>
  <c r="J386" i="1"/>
  <c r="K386" i="1"/>
  <c r="L386" i="1"/>
  <c r="A387" i="1"/>
  <c r="B387" i="1"/>
  <c r="C387" i="1"/>
  <c r="D387" i="1"/>
  <c r="E387" i="1"/>
  <c r="F387" i="1"/>
  <c r="G387" i="1"/>
  <c r="H387" i="1"/>
  <c r="I387" i="1"/>
  <c r="J387" i="1"/>
  <c r="K387" i="1"/>
  <c r="L387" i="1"/>
  <c r="A388" i="1"/>
  <c r="B388" i="1"/>
  <c r="C388" i="1"/>
  <c r="D388" i="1"/>
  <c r="E388" i="1"/>
  <c r="F388" i="1"/>
  <c r="G388" i="1"/>
  <c r="H388" i="1"/>
  <c r="I388" i="1"/>
  <c r="J388" i="1"/>
  <c r="K388" i="1"/>
  <c r="L388" i="1"/>
  <c r="A389" i="1"/>
  <c r="B389" i="1"/>
  <c r="C389" i="1"/>
  <c r="D389" i="1"/>
  <c r="E389" i="1"/>
  <c r="F389" i="1"/>
  <c r="G389" i="1"/>
  <c r="H389" i="1"/>
  <c r="I389" i="1"/>
  <c r="J389" i="1"/>
  <c r="K389" i="1"/>
  <c r="L389" i="1"/>
  <c r="A390" i="1"/>
  <c r="B390" i="1"/>
  <c r="C390" i="1"/>
  <c r="D390" i="1"/>
  <c r="E390" i="1"/>
  <c r="F390" i="1"/>
  <c r="G390" i="1"/>
  <c r="H390" i="1"/>
  <c r="I390" i="1"/>
  <c r="J390" i="1"/>
  <c r="K390" i="1"/>
  <c r="L390" i="1"/>
  <c r="A391" i="1"/>
  <c r="B391" i="1"/>
  <c r="C391" i="1"/>
  <c r="D391" i="1"/>
  <c r="E391" i="1"/>
  <c r="F391" i="1"/>
  <c r="G391" i="1"/>
  <c r="H391" i="1"/>
  <c r="I391" i="1"/>
  <c r="J391" i="1"/>
  <c r="K391" i="1"/>
  <c r="L391" i="1"/>
  <c r="A392" i="1"/>
  <c r="B392" i="1"/>
  <c r="C392" i="1"/>
  <c r="D392" i="1"/>
  <c r="E392" i="1"/>
  <c r="F392" i="1"/>
  <c r="G392" i="1"/>
  <c r="H392" i="1"/>
  <c r="I392" i="1"/>
  <c r="J392" i="1"/>
  <c r="K392" i="1"/>
  <c r="L392" i="1"/>
  <c r="A393" i="1"/>
  <c r="B393" i="1"/>
  <c r="C393" i="1"/>
  <c r="D393" i="1"/>
  <c r="E393" i="1"/>
  <c r="F393" i="1"/>
  <c r="G393" i="1"/>
  <c r="H393" i="1"/>
  <c r="I393" i="1"/>
  <c r="J393" i="1"/>
  <c r="K393" i="1"/>
  <c r="L393" i="1"/>
  <c r="A394" i="1"/>
  <c r="B394" i="1"/>
  <c r="C394" i="1"/>
  <c r="D394" i="1"/>
  <c r="E394" i="1"/>
  <c r="F394" i="1"/>
  <c r="G394" i="1"/>
  <c r="H394" i="1"/>
  <c r="I394" i="1"/>
  <c r="J394" i="1"/>
  <c r="K394" i="1"/>
  <c r="L394" i="1"/>
  <c r="A395" i="1"/>
  <c r="B395" i="1"/>
  <c r="C395" i="1"/>
  <c r="D395" i="1"/>
  <c r="E395" i="1"/>
  <c r="F395" i="1"/>
  <c r="G395" i="1"/>
  <c r="H395" i="1"/>
  <c r="I395" i="1"/>
  <c r="J395" i="1"/>
  <c r="K395" i="1"/>
  <c r="L395" i="1"/>
  <c r="A396" i="1"/>
  <c r="B396" i="1"/>
  <c r="C396" i="1"/>
  <c r="D396" i="1"/>
  <c r="E396" i="1"/>
  <c r="F396" i="1"/>
  <c r="G396" i="1"/>
  <c r="H396" i="1"/>
  <c r="I396" i="1"/>
  <c r="J396" i="1"/>
  <c r="K396" i="1"/>
  <c r="L396" i="1"/>
  <c r="A397" i="1"/>
  <c r="B397" i="1"/>
  <c r="C397" i="1"/>
  <c r="D397" i="1"/>
  <c r="E397" i="1"/>
  <c r="F397" i="1"/>
  <c r="G397" i="1"/>
  <c r="H397" i="1"/>
  <c r="I397" i="1"/>
  <c r="J397" i="1"/>
  <c r="K397" i="1"/>
  <c r="L397" i="1"/>
  <c r="A398" i="1"/>
  <c r="B398" i="1"/>
  <c r="C398" i="1"/>
  <c r="D398" i="1"/>
  <c r="E398" i="1"/>
  <c r="F398" i="1"/>
  <c r="G398" i="1"/>
  <c r="H398" i="1"/>
  <c r="I398" i="1"/>
  <c r="J398" i="1"/>
  <c r="K398" i="1"/>
  <c r="L398" i="1"/>
  <c r="A399" i="1"/>
  <c r="B399" i="1"/>
  <c r="C399" i="1"/>
  <c r="D399" i="1"/>
  <c r="E399" i="1"/>
  <c r="F399" i="1"/>
  <c r="G399" i="1"/>
  <c r="H399" i="1"/>
  <c r="I399" i="1"/>
  <c r="J399" i="1"/>
  <c r="K399" i="1"/>
  <c r="L399" i="1"/>
  <c r="A400" i="1"/>
  <c r="B400" i="1"/>
  <c r="C400" i="1"/>
  <c r="D400" i="1"/>
  <c r="E400" i="1"/>
  <c r="F400" i="1"/>
  <c r="G400" i="1"/>
  <c r="H400" i="1"/>
  <c r="I400" i="1"/>
  <c r="J400" i="1"/>
  <c r="K400" i="1"/>
  <c r="L400" i="1"/>
  <c r="A401" i="1"/>
  <c r="B401" i="1"/>
  <c r="C401" i="1"/>
  <c r="D401" i="1"/>
  <c r="E401" i="1"/>
  <c r="F401" i="1"/>
  <c r="G401" i="1"/>
  <c r="H401" i="1"/>
  <c r="I401" i="1"/>
  <c r="J401" i="1"/>
  <c r="K401" i="1"/>
  <c r="L401" i="1"/>
  <c r="A402" i="1"/>
  <c r="B402" i="1"/>
  <c r="C402" i="1"/>
  <c r="D402" i="1"/>
  <c r="E402" i="1"/>
  <c r="F402" i="1"/>
  <c r="G402" i="1"/>
  <c r="H402" i="1"/>
  <c r="I402" i="1"/>
  <c r="J402" i="1"/>
  <c r="K402" i="1"/>
  <c r="L402" i="1"/>
  <c r="A403" i="1"/>
  <c r="B403" i="1"/>
  <c r="C403" i="1"/>
  <c r="D403" i="1"/>
  <c r="E403" i="1"/>
  <c r="F403" i="1"/>
  <c r="G403" i="1"/>
  <c r="H403" i="1"/>
  <c r="I403" i="1"/>
  <c r="J403" i="1"/>
  <c r="K403" i="1"/>
  <c r="L403" i="1"/>
  <c r="A404" i="1"/>
  <c r="B404" i="1"/>
  <c r="C404" i="1"/>
  <c r="D404" i="1"/>
  <c r="E404" i="1"/>
  <c r="F404" i="1"/>
  <c r="G404" i="1"/>
  <c r="H404" i="1"/>
  <c r="I404" i="1"/>
  <c r="J404" i="1"/>
  <c r="K404" i="1"/>
  <c r="L404" i="1"/>
  <c r="A405" i="1"/>
  <c r="B405" i="1"/>
  <c r="C405" i="1"/>
  <c r="D405" i="1"/>
  <c r="E405" i="1"/>
  <c r="F405" i="1"/>
  <c r="G405" i="1"/>
  <c r="H405" i="1"/>
  <c r="I405" i="1"/>
  <c r="J405" i="1"/>
  <c r="K405" i="1"/>
  <c r="L405" i="1"/>
  <c r="A406" i="1"/>
  <c r="B406" i="1"/>
  <c r="C406" i="1"/>
  <c r="D406" i="1"/>
  <c r="E406" i="1"/>
  <c r="F406" i="1"/>
  <c r="G406" i="1"/>
  <c r="H406" i="1"/>
  <c r="I406" i="1"/>
  <c r="J406" i="1"/>
  <c r="K406" i="1"/>
  <c r="L406" i="1"/>
  <c r="A407" i="1"/>
  <c r="B407" i="1"/>
  <c r="C407" i="1"/>
  <c r="D407" i="1"/>
  <c r="E407" i="1"/>
  <c r="F407" i="1"/>
  <c r="G407" i="1"/>
  <c r="H407" i="1"/>
  <c r="I407" i="1"/>
  <c r="J407" i="1"/>
  <c r="K407" i="1"/>
  <c r="L407" i="1"/>
  <c r="A408" i="1"/>
  <c r="B408" i="1"/>
  <c r="C408" i="1"/>
  <c r="D408" i="1"/>
  <c r="E408" i="1"/>
  <c r="F408" i="1"/>
  <c r="G408" i="1"/>
  <c r="H408" i="1"/>
  <c r="I408" i="1"/>
  <c r="J408" i="1"/>
  <c r="K408" i="1"/>
  <c r="L408" i="1"/>
  <c r="A409" i="1"/>
  <c r="B409" i="1"/>
  <c r="C409" i="1"/>
  <c r="D409" i="1"/>
  <c r="E409" i="1"/>
  <c r="F409" i="1"/>
  <c r="G409" i="1"/>
  <c r="H409" i="1"/>
  <c r="I409" i="1"/>
  <c r="J409" i="1"/>
  <c r="K409" i="1"/>
  <c r="L409" i="1"/>
  <c r="A410" i="1"/>
  <c r="B410" i="1"/>
  <c r="C410" i="1"/>
  <c r="D410" i="1"/>
  <c r="E410" i="1"/>
  <c r="F410" i="1"/>
  <c r="G410" i="1"/>
  <c r="H410" i="1"/>
  <c r="I410" i="1"/>
  <c r="J410" i="1"/>
  <c r="K410" i="1"/>
  <c r="L410" i="1"/>
  <c r="A411" i="1"/>
  <c r="B411" i="1"/>
  <c r="C411" i="1"/>
  <c r="D411" i="1"/>
  <c r="E411" i="1"/>
  <c r="F411" i="1"/>
  <c r="G411" i="1"/>
  <c r="H411" i="1"/>
  <c r="I411" i="1"/>
  <c r="J411" i="1"/>
  <c r="K411" i="1"/>
  <c r="L411" i="1"/>
  <c r="A412" i="1"/>
  <c r="B412" i="1"/>
  <c r="C412" i="1"/>
  <c r="D412" i="1"/>
  <c r="E412" i="1"/>
  <c r="F412" i="1"/>
  <c r="G412" i="1"/>
  <c r="H412" i="1"/>
  <c r="I412" i="1"/>
  <c r="J412" i="1"/>
  <c r="K412" i="1"/>
  <c r="L412" i="1"/>
  <c r="A413" i="1"/>
  <c r="B413" i="1"/>
  <c r="C413" i="1"/>
  <c r="D413" i="1"/>
  <c r="E413" i="1"/>
  <c r="F413" i="1"/>
  <c r="G413" i="1"/>
  <c r="H413" i="1"/>
  <c r="I413" i="1"/>
  <c r="J413" i="1"/>
  <c r="K413" i="1"/>
  <c r="L413" i="1"/>
  <c r="A414" i="1"/>
  <c r="B414" i="1"/>
  <c r="C414" i="1"/>
  <c r="D414" i="1"/>
  <c r="E414" i="1"/>
  <c r="F414" i="1"/>
  <c r="G414" i="1"/>
  <c r="H414" i="1"/>
  <c r="I414" i="1"/>
  <c r="J414" i="1"/>
  <c r="K414" i="1"/>
  <c r="L414" i="1"/>
  <c r="A415" i="1"/>
  <c r="B415" i="1"/>
  <c r="C415" i="1"/>
  <c r="D415" i="1"/>
  <c r="E415" i="1"/>
  <c r="F415" i="1"/>
  <c r="G415" i="1"/>
  <c r="H415" i="1"/>
  <c r="I415" i="1"/>
  <c r="J415" i="1"/>
  <c r="K415" i="1"/>
  <c r="L415" i="1"/>
  <c r="A416" i="1"/>
  <c r="B416" i="1"/>
  <c r="C416" i="1"/>
  <c r="D416" i="1"/>
  <c r="E416" i="1"/>
  <c r="F416" i="1"/>
  <c r="G416" i="1"/>
  <c r="H416" i="1"/>
  <c r="I416" i="1"/>
  <c r="J416" i="1"/>
  <c r="K416" i="1"/>
  <c r="L416" i="1"/>
  <c r="A417" i="1"/>
  <c r="B417" i="1"/>
  <c r="C417" i="1"/>
  <c r="D417" i="1"/>
  <c r="E417" i="1"/>
  <c r="F417" i="1"/>
  <c r="G417" i="1"/>
  <c r="H417" i="1"/>
  <c r="I417" i="1"/>
  <c r="J417" i="1"/>
  <c r="K417" i="1"/>
  <c r="L417" i="1"/>
  <c r="A418" i="1"/>
  <c r="B418" i="1"/>
  <c r="C418" i="1"/>
  <c r="D418" i="1"/>
  <c r="E418" i="1"/>
  <c r="F418" i="1"/>
  <c r="G418" i="1"/>
  <c r="H418" i="1"/>
  <c r="I418" i="1"/>
  <c r="J418" i="1"/>
  <c r="K418" i="1"/>
  <c r="L418" i="1"/>
  <c r="A419" i="1"/>
  <c r="B419" i="1"/>
  <c r="C419" i="1"/>
  <c r="D419" i="1"/>
  <c r="E419" i="1"/>
  <c r="F419" i="1"/>
  <c r="G419" i="1"/>
  <c r="H419" i="1"/>
  <c r="I419" i="1"/>
  <c r="J419" i="1"/>
  <c r="K419" i="1"/>
  <c r="L419" i="1"/>
  <c r="A420" i="1"/>
  <c r="B420" i="1"/>
  <c r="C420" i="1"/>
  <c r="D420" i="1"/>
  <c r="E420" i="1"/>
  <c r="F420" i="1"/>
  <c r="G420" i="1"/>
  <c r="H420" i="1"/>
  <c r="I420" i="1"/>
  <c r="J420" i="1"/>
  <c r="K420" i="1"/>
  <c r="L420" i="1"/>
  <c r="A421" i="1"/>
  <c r="B421" i="1"/>
  <c r="C421" i="1"/>
  <c r="D421" i="1"/>
  <c r="E421" i="1"/>
  <c r="F421" i="1"/>
  <c r="G421" i="1"/>
  <c r="H421" i="1"/>
  <c r="I421" i="1"/>
  <c r="J421" i="1"/>
  <c r="K421" i="1"/>
  <c r="L421" i="1"/>
  <c r="A422" i="1"/>
  <c r="B422" i="1"/>
  <c r="C422" i="1"/>
  <c r="D422" i="1"/>
  <c r="E422" i="1"/>
  <c r="F422" i="1"/>
  <c r="G422" i="1"/>
  <c r="H422" i="1"/>
  <c r="I422" i="1"/>
  <c r="J422" i="1"/>
  <c r="K422" i="1"/>
  <c r="L422" i="1"/>
  <c r="A423" i="1"/>
  <c r="B423" i="1"/>
  <c r="C423" i="1"/>
  <c r="D423" i="1"/>
  <c r="E423" i="1"/>
  <c r="F423" i="1"/>
  <c r="G423" i="1"/>
  <c r="H423" i="1"/>
  <c r="I423" i="1"/>
  <c r="J423" i="1"/>
  <c r="K423" i="1"/>
  <c r="L423" i="1"/>
  <c r="A424" i="1"/>
  <c r="B424" i="1"/>
  <c r="C424" i="1"/>
  <c r="D424" i="1"/>
  <c r="E424" i="1"/>
  <c r="F424" i="1"/>
  <c r="G424" i="1"/>
  <c r="H424" i="1"/>
  <c r="I424" i="1"/>
  <c r="J424" i="1"/>
  <c r="K424" i="1"/>
  <c r="L424" i="1"/>
  <c r="A425" i="1"/>
  <c r="B425" i="1"/>
  <c r="C425" i="1"/>
  <c r="D425" i="1"/>
  <c r="E425" i="1"/>
  <c r="F425" i="1"/>
  <c r="G425" i="1"/>
  <c r="H425" i="1"/>
  <c r="I425" i="1"/>
  <c r="J425" i="1"/>
  <c r="K425" i="1"/>
  <c r="L425" i="1"/>
  <c r="A426" i="1"/>
  <c r="B426" i="1"/>
  <c r="C426" i="1"/>
  <c r="D426" i="1"/>
  <c r="E426" i="1"/>
  <c r="F426" i="1"/>
  <c r="G426" i="1"/>
  <c r="H426" i="1"/>
  <c r="I426" i="1"/>
  <c r="J426" i="1"/>
  <c r="K426" i="1"/>
  <c r="L426" i="1"/>
  <c r="A427" i="1"/>
  <c r="B427" i="1"/>
  <c r="C427" i="1"/>
  <c r="D427" i="1"/>
  <c r="E427" i="1"/>
  <c r="F427" i="1"/>
  <c r="G427" i="1"/>
  <c r="H427" i="1"/>
  <c r="I427" i="1"/>
  <c r="J427" i="1"/>
  <c r="K427" i="1"/>
  <c r="L427" i="1"/>
  <c r="A428" i="1"/>
  <c r="B428" i="1"/>
  <c r="C428" i="1"/>
  <c r="D428" i="1"/>
  <c r="E428" i="1"/>
  <c r="F428" i="1"/>
  <c r="G428" i="1"/>
  <c r="H428" i="1"/>
  <c r="I428" i="1"/>
  <c r="J428" i="1"/>
  <c r="K428" i="1"/>
  <c r="L428" i="1"/>
  <c r="A429" i="1"/>
  <c r="B429" i="1"/>
  <c r="C429" i="1"/>
  <c r="D429" i="1"/>
  <c r="E429" i="1"/>
  <c r="F429" i="1"/>
  <c r="G429" i="1"/>
  <c r="H429" i="1"/>
  <c r="I429" i="1"/>
  <c r="J429" i="1"/>
  <c r="K429" i="1"/>
  <c r="L429" i="1"/>
  <c r="A430" i="1"/>
  <c r="B430" i="1"/>
  <c r="C430" i="1"/>
  <c r="D430" i="1"/>
  <c r="E430" i="1"/>
  <c r="F430" i="1"/>
  <c r="G430" i="1"/>
  <c r="H430" i="1"/>
  <c r="I430" i="1"/>
  <c r="J430" i="1"/>
  <c r="K430" i="1"/>
  <c r="L430" i="1"/>
  <c r="A431" i="1"/>
  <c r="B431" i="1"/>
  <c r="C431" i="1"/>
  <c r="D431" i="1"/>
  <c r="E431" i="1"/>
  <c r="F431" i="1"/>
  <c r="G431" i="1"/>
  <c r="H431" i="1"/>
  <c r="I431" i="1"/>
  <c r="J431" i="1"/>
  <c r="K431" i="1"/>
  <c r="L431" i="1"/>
  <c r="A432" i="1"/>
  <c r="B432" i="1"/>
  <c r="C432" i="1"/>
  <c r="D432" i="1"/>
  <c r="E432" i="1"/>
  <c r="F432" i="1"/>
  <c r="G432" i="1"/>
  <c r="H432" i="1"/>
  <c r="I432" i="1"/>
  <c r="J432" i="1"/>
  <c r="K432" i="1"/>
  <c r="L432" i="1"/>
  <c r="A433" i="1"/>
  <c r="B433" i="1"/>
  <c r="C433" i="1"/>
  <c r="D433" i="1"/>
  <c r="E433" i="1"/>
  <c r="F433" i="1"/>
  <c r="G433" i="1"/>
  <c r="H433" i="1"/>
  <c r="I433" i="1"/>
  <c r="J433" i="1"/>
  <c r="K433" i="1"/>
  <c r="L433" i="1"/>
  <c r="A434" i="1"/>
  <c r="B434" i="1"/>
  <c r="C434" i="1"/>
  <c r="D434" i="1"/>
  <c r="E434" i="1"/>
  <c r="F434" i="1"/>
  <c r="G434" i="1"/>
  <c r="H434" i="1"/>
  <c r="I434" i="1"/>
  <c r="J434" i="1"/>
  <c r="K434" i="1"/>
  <c r="L434" i="1"/>
  <c r="A435" i="1"/>
  <c r="B435" i="1"/>
  <c r="C435" i="1"/>
  <c r="D435" i="1"/>
  <c r="E435" i="1"/>
  <c r="F435" i="1"/>
  <c r="G435" i="1"/>
  <c r="H435" i="1"/>
  <c r="I435" i="1"/>
  <c r="J435" i="1"/>
  <c r="K435" i="1"/>
  <c r="L435" i="1"/>
  <c r="A436" i="1"/>
  <c r="B436" i="1"/>
  <c r="C436" i="1"/>
  <c r="D436" i="1"/>
  <c r="E436" i="1"/>
  <c r="F436" i="1"/>
  <c r="G436" i="1"/>
  <c r="H436" i="1"/>
  <c r="I436" i="1"/>
  <c r="J436" i="1"/>
  <c r="K436" i="1"/>
  <c r="L436" i="1"/>
  <c r="A437" i="1"/>
  <c r="B437" i="1"/>
  <c r="C437" i="1"/>
  <c r="D437" i="1"/>
  <c r="E437" i="1"/>
  <c r="F437" i="1"/>
  <c r="G437" i="1"/>
  <c r="H437" i="1"/>
  <c r="I437" i="1"/>
  <c r="J437" i="1"/>
  <c r="K437" i="1"/>
  <c r="L437" i="1"/>
  <c r="A438" i="1"/>
  <c r="B438" i="1"/>
  <c r="C438" i="1"/>
  <c r="D438" i="1"/>
  <c r="E438" i="1"/>
  <c r="F438" i="1"/>
  <c r="G438" i="1"/>
  <c r="H438" i="1"/>
  <c r="I438" i="1"/>
  <c r="J438" i="1"/>
  <c r="K438" i="1"/>
  <c r="L438" i="1"/>
  <c r="A439" i="1"/>
  <c r="B439" i="1"/>
  <c r="C439" i="1"/>
  <c r="D439" i="1"/>
  <c r="E439" i="1"/>
  <c r="F439" i="1"/>
  <c r="G439" i="1"/>
  <c r="H439" i="1"/>
  <c r="I439" i="1"/>
  <c r="J439" i="1"/>
  <c r="K439" i="1"/>
  <c r="L439" i="1"/>
  <c r="A440" i="1"/>
  <c r="B440" i="1"/>
  <c r="C440" i="1"/>
  <c r="D440" i="1"/>
  <c r="E440" i="1"/>
  <c r="F440" i="1"/>
  <c r="G440" i="1"/>
  <c r="H440" i="1"/>
  <c r="I440" i="1"/>
  <c r="J440" i="1"/>
  <c r="K440" i="1"/>
  <c r="L440" i="1"/>
  <c r="A441" i="1"/>
  <c r="B441" i="1"/>
  <c r="C441" i="1"/>
  <c r="D441" i="1"/>
  <c r="E441" i="1"/>
  <c r="F441" i="1"/>
  <c r="G441" i="1"/>
  <c r="H441" i="1"/>
  <c r="I441" i="1"/>
  <c r="J441" i="1"/>
  <c r="K441" i="1"/>
  <c r="L441" i="1"/>
  <c r="A442" i="1"/>
  <c r="B442" i="1"/>
  <c r="C442" i="1"/>
  <c r="D442" i="1"/>
  <c r="E442" i="1"/>
  <c r="F442" i="1"/>
  <c r="G442" i="1"/>
  <c r="H442" i="1"/>
  <c r="I442" i="1"/>
  <c r="J442" i="1"/>
  <c r="K442" i="1"/>
  <c r="L442" i="1"/>
  <c r="A443" i="1"/>
  <c r="B443" i="1"/>
  <c r="C443" i="1"/>
  <c r="D443" i="1"/>
  <c r="E443" i="1"/>
  <c r="F443" i="1"/>
  <c r="G443" i="1"/>
  <c r="H443" i="1"/>
  <c r="I443" i="1"/>
  <c r="J443" i="1"/>
  <c r="K443" i="1"/>
  <c r="L443" i="1"/>
  <c r="A444" i="1"/>
  <c r="B444" i="1"/>
  <c r="C444" i="1"/>
  <c r="D444" i="1"/>
  <c r="E444" i="1"/>
  <c r="F444" i="1"/>
  <c r="G444" i="1"/>
  <c r="H444" i="1"/>
  <c r="I444" i="1"/>
  <c r="J444" i="1"/>
  <c r="K444" i="1"/>
  <c r="L444" i="1"/>
  <c r="A445" i="1"/>
  <c r="B445" i="1"/>
  <c r="C445" i="1"/>
  <c r="D445" i="1"/>
  <c r="E445" i="1"/>
  <c r="F445" i="1"/>
  <c r="G445" i="1"/>
  <c r="H445" i="1"/>
  <c r="I445" i="1"/>
  <c r="J445" i="1"/>
  <c r="K445" i="1"/>
  <c r="L445" i="1"/>
  <c r="A446" i="1"/>
  <c r="B446" i="1"/>
  <c r="C446" i="1"/>
  <c r="D446" i="1"/>
  <c r="E446" i="1"/>
  <c r="F446" i="1"/>
  <c r="G446" i="1"/>
  <c r="H446" i="1"/>
  <c r="I446" i="1"/>
  <c r="J446" i="1"/>
  <c r="K446" i="1"/>
  <c r="L446" i="1"/>
  <c r="A447" i="1"/>
  <c r="B447" i="1"/>
  <c r="C447" i="1"/>
  <c r="D447" i="1"/>
  <c r="E447" i="1"/>
  <c r="F447" i="1"/>
  <c r="G447" i="1"/>
  <c r="H447" i="1"/>
  <c r="I447" i="1"/>
  <c r="J447" i="1"/>
  <c r="K447" i="1"/>
  <c r="L447" i="1"/>
  <c r="A448" i="1"/>
  <c r="B448" i="1"/>
  <c r="C448" i="1"/>
  <c r="D448" i="1"/>
  <c r="E448" i="1"/>
  <c r="F448" i="1"/>
  <c r="G448" i="1"/>
  <c r="H448" i="1"/>
  <c r="I448" i="1"/>
  <c r="J448" i="1"/>
  <c r="K448" i="1"/>
  <c r="L448" i="1"/>
  <c r="A449" i="1"/>
  <c r="B449" i="1"/>
  <c r="C449" i="1"/>
  <c r="D449" i="1"/>
  <c r="E449" i="1"/>
  <c r="F449" i="1"/>
  <c r="G449" i="1"/>
  <c r="H449" i="1"/>
  <c r="I449" i="1"/>
  <c r="J449" i="1"/>
  <c r="K449" i="1"/>
  <c r="L449" i="1"/>
  <c r="A450" i="1"/>
  <c r="B450" i="1"/>
  <c r="C450" i="1"/>
  <c r="D450" i="1"/>
  <c r="E450" i="1"/>
  <c r="F450" i="1"/>
  <c r="G450" i="1"/>
  <c r="H450" i="1"/>
  <c r="I450" i="1"/>
  <c r="J450" i="1"/>
  <c r="K450" i="1"/>
  <c r="L450" i="1"/>
  <c r="A451" i="1"/>
  <c r="B451" i="1"/>
  <c r="C451" i="1"/>
  <c r="D451" i="1"/>
  <c r="E451" i="1"/>
  <c r="F451" i="1"/>
  <c r="G451" i="1"/>
  <c r="H451" i="1"/>
  <c r="I451" i="1"/>
  <c r="J451" i="1"/>
  <c r="K451" i="1"/>
  <c r="L451" i="1"/>
  <c r="A452" i="1"/>
  <c r="B452" i="1"/>
  <c r="C452" i="1"/>
  <c r="D452" i="1"/>
  <c r="E452" i="1"/>
  <c r="F452" i="1"/>
  <c r="G452" i="1"/>
  <c r="H452" i="1"/>
  <c r="I452" i="1"/>
  <c r="J452" i="1"/>
  <c r="K452" i="1"/>
  <c r="L452" i="1"/>
  <c r="A453" i="1"/>
  <c r="B453" i="1"/>
  <c r="C453" i="1"/>
  <c r="D453" i="1"/>
  <c r="E453" i="1"/>
  <c r="F453" i="1"/>
  <c r="G453" i="1"/>
  <c r="H453" i="1"/>
  <c r="I453" i="1"/>
  <c r="J453" i="1"/>
  <c r="K453" i="1"/>
  <c r="L453" i="1"/>
  <c r="A454" i="1"/>
  <c r="B454" i="1"/>
  <c r="C454" i="1"/>
  <c r="D454" i="1"/>
  <c r="E454" i="1"/>
  <c r="F454" i="1"/>
  <c r="G454" i="1"/>
  <c r="H454" i="1"/>
  <c r="I454" i="1"/>
  <c r="J454" i="1"/>
  <c r="K454" i="1"/>
  <c r="L454" i="1"/>
  <c r="A455" i="1"/>
  <c r="B455" i="1"/>
  <c r="C455" i="1"/>
  <c r="D455" i="1"/>
  <c r="E455" i="1"/>
  <c r="F455" i="1"/>
  <c r="G455" i="1"/>
  <c r="H455" i="1"/>
  <c r="I455" i="1"/>
  <c r="J455" i="1"/>
  <c r="K455" i="1"/>
  <c r="L455" i="1"/>
  <c r="A456" i="1"/>
  <c r="B456" i="1"/>
  <c r="C456" i="1"/>
  <c r="D456" i="1"/>
  <c r="E456" i="1"/>
  <c r="F456" i="1"/>
  <c r="G456" i="1"/>
  <c r="H456" i="1"/>
  <c r="I456" i="1"/>
  <c r="J456" i="1"/>
  <c r="K456" i="1"/>
  <c r="L456" i="1"/>
  <c r="A457" i="1"/>
  <c r="B457" i="1"/>
  <c r="C457" i="1"/>
  <c r="D457" i="1"/>
  <c r="E457" i="1"/>
  <c r="F457" i="1"/>
  <c r="G457" i="1"/>
  <c r="H457" i="1"/>
  <c r="I457" i="1"/>
  <c r="J457" i="1"/>
  <c r="K457" i="1"/>
  <c r="L457" i="1"/>
  <c r="A458" i="1"/>
  <c r="B458" i="1"/>
  <c r="C458" i="1"/>
  <c r="D458" i="1"/>
  <c r="E458" i="1"/>
  <c r="F458" i="1"/>
  <c r="G458" i="1"/>
  <c r="H458" i="1"/>
  <c r="I458" i="1"/>
  <c r="J458" i="1"/>
  <c r="K458" i="1"/>
  <c r="L458" i="1"/>
  <c r="A459" i="1"/>
  <c r="B459" i="1"/>
  <c r="C459" i="1"/>
  <c r="D459" i="1"/>
  <c r="E459" i="1"/>
  <c r="F459" i="1"/>
  <c r="G459" i="1"/>
  <c r="H459" i="1"/>
  <c r="I459" i="1"/>
  <c r="J459" i="1"/>
  <c r="K459" i="1"/>
  <c r="L459" i="1"/>
  <c r="A460" i="1"/>
  <c r="B460" i="1"/>
  <c r="C460" i="1"/>
  <c r="D460" i="1"/>
  <c r="E460" i="1"/>
  <c r="F460" i="1"/>
  <c r="G460" i="1"/>
  <c r="H460" i="1"/>
  <c r="I460" i="1"/>
  <c r="J460" i="1"/>
  <c r="K460" i="1"/>
  <c r="L460" i="1"/>
  <c r="A461" i="1"/>
  <c r="B461" i="1"/>
  <c r="C461" i="1"/>
  <c r="D461" i="1"/>
  <c r="E461" i="1"/>
  <c r="F461" i="1"/>
  <c r="G461" i="1"/>
  <c r="H461" i="1"/>
  <c r="I461" i="1"/>
  <c r="J461" i="1"/>
  <c r="K461" i="1"/>
  <c r="L461" i="1"/>
  <c r="A462" i="1"/>
  <c r="B462" i="1"/>
  <c r="C462" i="1"/>
  <c r="D462" i="1"/>
  <c r="E462" i="1"/>
  <c r="F462" i="1"/>
  <c r="G462" i="1"/>
  <c r="H462" i="1"/>
  <c r="I462" i="1"/>
  <c r="J462" i="1"/>
  <c r="K462" i="1"/>
  <c r="L462" i="1"/>
  <c r="A463" i="1"/>
  <c r="B463" i="1"/>
  <c r="C463" i="1"/>
  <c r="D463" i="1"/>
  <c r="E463" i="1"/>
  <c r="F463" i="1"/>
  <c r="G463" i="1"/>
  <c r="H463" i="1"/>
  <c r="I463" i="1"/>
  <c r="J463" i="1"/>
  <c r="K463" i="1"/>
  <c r="L463" i="1"/>
  <c r="A464" i="1"/>
  <c r="B464" i="1"/>
  <c r="C464" i="1"/>
  <c r="D464" i="1"/>
  <c r="E464" i="1"/>
  <c r="F464" i="1"/>
  <c r="G464" i="1"/>
  <c r="H464" i="1"/>
  <c r="I464" i="1"/>
  <c r="J464" i="1"/>
  <c r="K464" i="1"/>
  <c r="L464" i="1"/>
  <c r="A465" i="1"/>
  <c r="B465" i="1"/>
  <c r="C465" i="1"/>
  <c r="D465" i="1"/>
  <c r="E465" i="1"/>
  <c r="F465" i="1"/>
  <c r="G465" i="1"/>
  <c r="H465" i="1"/>
  <c r="I465" i="1"/>
  <c r="J465" i="1"/>
  <c r="K465" i="1"/>
  <c r="L465" i="1"/>
  <c r="A466" i="1"/>
  <c r="B466" i="1"/>
  <c r="C466" i="1"/>
  <c r="D466" i="1"/>
  <c r="E466" i="1"/>
  <c r="F466" i="1"/>
  <c r="G466" i="1"/>
  <c r="H466" i="1"/>
  <c r="I466" i="1"/>
  <c r="J466" i="1"/>
  <c r="K466" i="1"/>
  <c r="L466" i="1"/>
  <c r="A467" i="1"/>
  <c r="B467" i="1"/>
  <c r="C467" i="1"/>
  <c r="D467" i="1"/>
  <c r="E467" i="1"/>
  <c r="F467" i="1"/>
  <c r="G467" i="1"/>
  <c r="H467" i="1"/>
  <c r="I467" i="1"/>
  <c r="J467" i="1"/>
  <c r="K467" i="1"/>
  <c r="L467" i="1"/>
  <c r="A468" i="1"/>
  <c r="B468" i="1"/>
  <c r="C468" i="1"/>
  <c r="D468" i="1"/>
  <c r="E468" i="1"/>
  <c r="F468" i="1"/>
  <c r="G468" i="1"/>
  <c r="H468" i="1"/>
  <c r="I468" i="1"/>
  <c r="J468" i="1"/>
  <c r="K468" i="1"/>
  <c r="L468" i="1"/>
  <c r="A469" i="1"/>
  <c r="B469" i="1"/>
  <c r="C469" i="1"/>
  <c r="D469" i="1"/>
  <c r="E469" i="1"/>
  <c r="F469" i="1"/>
  <c r="G469" i="1"/>
  <c r="H469" i="1"/>
  <c r="I469" i="1"/>
  <c r="J469" i="1"/>
  <c r="K469" i="1"/>
  <c r="L469" i="1"/>
  <c r="A470" i="1"/>
  <c r="B470" i="1"/>
  <c r="C470" i="1"/>
  <c r="D470" i="1"/>
  <c r="E470" i="1"/>
  <c r="F470" i="1"/>
  <c r="G470" i="1"/>
  <c r="H470" i="1"/>
  <c r="I470" i="1"/>
  <c r="J470" i="1"/>
  <c r="K470" i="1"/>
  <c r="L470" i="1"/>
  <c r="A471" i="1"/>
  <c r="B471" i="1"/>
  <c r="C471" i="1"/>
  <c r="D471" i="1"/>
  <c r="E471" i="1"/>
  <c r="F471" i="1"/>
  <c r="G471" i="1"/>
  <c r="H471" i="1"/>
  <c r="I471" i="1"/>
  <c r="J471" i="1"/>
  <c r="K471" i="1"/>
  <c r="L471" i="1"/>
  <c r="A472" i="1"/>
  <c r="B472" i="1"/>
  <c r="C472" i="1"/>
  <c r="D472" i="1"/>
  <c r="E472" i="1"/>
  <c r="F472" i="1"/>
  <c r="G472" i="1"/>
  <c r="H472" i="1"/>
  <c r="I472" i="1"/>
  <c r="J472" i="1"/>
  <c r="K472" i="1"/>
  <c r="L472" i="1"/>
  <c r="A473" i="1"/>
  <c r="B473" i="1"/>
  <c r="C473" i="1"/>
  <c r="D473" i="1"/>
  <c r="E473" i="1"/>
  <c r="F473" i="1"/>
  <c r="G473" i="1"/>
  <c r="H473" i="1"/>
  <c r="I473" i="1"/>
  <c r="J473" i="1"/>
  <c r="K473" i="1"/>
  <c r="L473" i="1"/>
  <c r="A474" i="1"/>
  <c r="B474" i="1"/>
  <c r="C474" i="1"/>
  <c r="D474" i="1"/>
  <c r="E474" i="1"/>
  <c r="F474" i="1"/>
  <c r="G474" i="1"/>
  <c r="H474" i="1"/>
  <c r="I474" i="1"/>
  <c r="J474" i="1"/>
  <c r="K474" i="1"/>
  <c r="L474" i="1"/>
  <c r="A475" i="1"/>
  <c r="B475" i="1"/>
  <c r="C475" i="1"/>
  <c r="D475" i="1"/>
  <c r="E475" i="1"/>
  <c r="F475" i="1"/>
  <c r="G475" i="1"/>
  <c r="H475" i="1"/>
  <c r="I475" i="1"/>
  <c r="J475" i="1"/>
  <c r="K475" i="1"/>
  <c r="L475" i="1"/>
  <c r="A476" i="1"/>
  <c r="B476" i="1"/>
  <c r="C476" i="1"/>
  <c r="D476" i="1"/>
  <c r="E476" i="1"/>
  <c r="F476" i="1"/>
  <c r="G476" i="1"/>
  <c r="H476" i="1"/>
  <c r="I476" i="1"/>
  <c r="J476" i="1"/>
  <c r="K476" i="1"/>
  <c r="L476" i="1"/>
  <c r="A477" i="1"/>
  <c r="B477" i="1"/>
  <c r="C477" i="1"/>
  <c r="D477" i="1"/>
  <c r="E477" i="1"/>
  <c r="F477" i="1"/>
  <c r="G477" i="1"/>
  <c r="H477" i="1"/>
  <c r="I477" i="1"/>
  <c r="J477" i="1"/>
  <c r="K477" i="1"/>
  <c r="L477" i="1"/>
  <c r="A478" i="1"/>
  <c r="B478" i="1"/>
  <c r="C478" i="1"/>
  <c r="D478" i="1"/>
  <c r="E478" i="1"/>
  <c r="F478" i="1"/>
  <c r="G478" i="1"/>
  <c r="H478" i="1"/>
  <c r="I478" i="1"/>
  <c r="J478" i="1"/>
  <c r="K478" i="1"/>
  <c r="L478" i="1"/>
  <c r="A479" i="1"/>
  <c r="B479" i="1"/>
  <c r="C479" i="1"/>
  <c r="D479" i="1"/>
  <c r="E479" i="1"/>
  <c r="F479" i="1"/>
  <c r="G479" i="1"/>
  <c r="H479" i="1"/>
  <c r="I479" i="1"/>
  <c r="J479" i="1"/>
  <c r="K479" i="1"/>
  <c r="L479" i="1"/>
  <c r="A480" i="1"/>
  <c r="B480" i="1"/>
  <c r="C480" i="1"/>
  <c r="D480" i="1"/>
  <c r="E480" i="1"/>
  <c r="F480" i="1"/>
  <c r="G480" i="1"/>
  <c r="H480" i="1"/>
  <c r="I480" i="1"/>
  <c r="J480" i="1"/>
  <c r="K480" i="1"/>
  <c r="L480" i="1"/>
  <c r="A481" i="1"/>
  <c r="B481" i="1"/>
  <c r="C481" i="1"/>
  <c r="D481" i="1"/>
  <c r="E481" i="1"/>
  <c r="F481" i="1"/>
  <c r="G481" i="1"/>
  <c r="H481" i="1"/>
  <c r="I481" i="1"/>
  <c r="J481" i="1"/>
  <c r="K481" i="1"/>
  <c r="L481" i="1"/>
  <c r="A482" i="1"/>
  <c r="B482" i="1"/>
  <c r="C482" i="1"/>
  <c r="D482" i="1"/>
  <c r="E482" i="1"/>
  <c r="F482" i="1"/>
  <c r="G482" i="1"/>
  <c r="H482" i="1"/>
  <c r="I482" i="1"/>
  <c r="J482" i="1"/>
  <c r="K482" i="1"/>
  <c r="L482" i="1"/>
  <c r="A483" i="1"/>
  <c r="B483" i="1"/>
  <c r="C483" i="1"/>
  <c r="D483" i="1"/>
  <c r="E483" i="1"/>
  <c r="F483" i="1"/>
  <c r="G483" i="1"/>
  <c r="H483" i="1"/>
  <c r="I483" i="1"/>
  <c r="J483" i="1"/>
  <c r="K483" i="1"/>
  <c r="L483" i="1"/>
  <c r="A484" i="1"/>
  <c r="B484" i="1"/>
  <c r="C484" i="1"/>
  <c r="D484" i="1"/>
  <c r="E484" i="1"/>
  <c r="F484" i="1"/>
  <c r="G484" i="1"/>
  <c r="H484" i="1"/>
  <c r="I484" i="1"/>
  <c r="J484" i="1"/>
  <c r="K484" i="1"/>
  <c r="L484" i="1"/>
  <c r="A485" i="1"/>
  <c r="B485" i="1"/>
  <c r="C485" i="1"/>
  <c r="D485" i="1"/>
  <c r="E485" i="1"/>
  <c r="F485" i="1"/>
  <c r="G485" i="1"/>
  <c r="H485" i="1"/>
  <c r="I485" i="1"/>
  <c r="J485" i="1"/>
  <c r="K485" i="1"/>
  <c r="L485" i="1"/>
  <c r="A486" i="1"/>
  <c r="B486" i="1"/>
  <c r="C486" i="1"/>
  <c r="D486" i="1"/>
  <c r="E486" i="1"/>
  <c r="F486" i="1"/>
  <c r="G486" i="1"/>
  <c r="H486" i="1"/>
  <c r="I486" i="1"/>
  <c r="J486" i="1"/>
  <c r="K486" i="1"/>
  <c r="L486" i="1"/>
  <c r="B517" i="1"/>
  <c r="C517" i="1"/>
  <c r="D517" i="1"/>
  <c r="E517" i="1"/>
  <c r="F517" i="1"/>
  <c r="G517" i="1"/>
  <c r="H517" i="1"/>
  <c r="I517" i="1"/>
  <c r="J517" i="1"/>
  <c r="K517" i="1"/>
  <c r="L517" i="1"/>
  <c r="A518" i="1"/>
  <c r="B518" i="1"/>
  <c r="C518" i="1"/>
  <c r="D518" i="1"/>
  <c r="E518" i="1"/>
  <c r="F518" i="1"/>
  <c r="G518" i="1"/>
  <c r="H518" i="1"/>
  <c r="I518" i="1"/>
  <c r="J518" i="1"/>
  <c r="K518" i="1"/>
  <c r="L518" i="1"/>
  <c r="A487" i="1"/>
  <c r="B487" i="1"/>
  <c r="C487" i="1"/>
  <c r="D487" i="1"/>
  <c r="E487" i="1"/>
  <c r="F487" i="1"/>
  <c r="G487" i="1"/>
  <c r="H487" i="1"/>
  <c r="I487" i="1"/>
  <c r="J487" i="1"/>
  <c r="K487" i="1"/>
  <c r="L487" i="1"/>
  <c r="A488" i="1"/>
  <c r="B488" i="1"/>
  <c r="C488" i="1"/>
  <c r="D488" i="1"/>
  <c r="E488" i="1"/>
  <c r="F488" i="1"/>
  <c r="G488" i="1"/>
  <c r="H488" i="1"/>
  <c r="I488" i="1"/>
  <c r="J488" i="1"/>
  <c r="K488" i="1"/>
  <c r="L488" i="1"/>
  <c r="A489" i="1"/>
  <c r="B489" i="1"/>
  <c r="C489" i="1"/>
  <c r="D489" i="1"/>
  <c r="E489" i="1"/>
  <c r="F489" i="1"/>
  <c r="G489" i="1"/>
  <c r="H489" i="1"/>
  <c r="I489" i="1"/>
  <c r="J489" i="1"/>
  <c r="K489" i="1"/>
  <c r="L489" i="1"/>
  <c r="A490" i="1"/>
  <c r="B490" i="1"/>
  <c r="C490" i="1"/>
  <c r="D490" i="1"/>
  <c r="E490" i="1"/>
  <c r="F490" i="1"/>
  <c r="G490" i="1"/>
  <c r="H490" i="1"/>
  <c r="I490" i="1"/>
  <c r="J490" i="1"/>
  <c r="K490" i="1"/>
  <c r="L490" i="1"/>
  <c r="A491" i="1"/>
  <c r="B491" i="1"/>
  <c r="C491" i="1"/>
  <c r="D491" i="1"/>
  <c r="E491" i="1"/>
  <c r="F491" i="1"/>
  <c r="G491" i="1"/>
  <c r="H491" i="1"/>
  <c r="I491" i="1"/>
  <c r="J491" i="1"/>
  <c r="K491" i="1"/>
  <c r="L491" i="1"/>
  <c r="A492" i="1"/>
  <c r="B492" i="1"/>
  <c r="C492" i="1"/>
  <c r="D492" i="1"/>
  <c r="E492" i="1"/>
  <c r="F492" i="1"/>
  <c r="G492" i="1"/>
  <c r="H492" i="1"/>
  <c r="I492" i="1"/>
  <c r="J492" i="1"/>
  <c r="K492" i="1"/>
  <c r="L492" i="1"/>
  <c r="A493" i="1"/>
  <c r="B493" i="1"/>
  <c r="C493" i="1"/>
  <c r="D493" i="1"/>
  <c r="E493" i="1"/>
  <c r="F493" i="1"/>
  <c r="G493" i="1"/>
  <c r="H493" i="1"/>
  <c r="I493" i="1"/>
  <c r="J493" i="1"/>
  <c r="K493" i="1"/>
  <c r="L493" i="1"/>
  <c r="A494" i="1"/>
  <c r="B494" i="1"/>
  <c r="C494" i="1"/>
  <c r="D494" i="1"/>
  <c r="E494" i="1"/>
  <c r="F494" i="1"/>
  <c r="G494" i="1"/>
  <c r="H494" i="1"/>
  <c r="I494" i="1"/>
  <c r="J494" i="1"/>
  <c r="K494" i="1"/>
  <c r="L494" i="1"/>
  <c r="A495" i="1"/>
  <c r="B495" i="1"/>
  <c r="C495" i="1"/>
  <c r="D495" i="1"/>
  <c r="E495" i="1"/>
  <c r="F495" i="1"/>
  <c r="G495" i="1"/>
  <c r="H495" i="1"/>
  <c r="I495" i="1"/>
  <c r="J495" i="1"/>
  <c r="K495" i="1"/>
  <c r="L495" i="1"/>
  <c r="A496" i="1"/>
  <c r="B496" i="1"/>
  <c r="C496" i="1"/>
  <c r="D496" i="1"/>
  <c r="E496" i="1"/>
  <c r="F496" i="1"/>
  <c r="G496" i="1"/>
  <c r="H496" i="1"/>
  <c r="I496" i="1"/>
  <c r="J496" i="1"/>
  <c r="K496" i="1"/>
  <c r="L496" i="1"/>
  <c r="A497" i="1"/>
  <c r="B497" i="1"/>
  <c r="C497" i="1"/>
  <c r="D497" i="1"/>
  <c r="E497" i="1"/>
  <c r="F497" i="1"/>
  <c r="G497" i="1"/>
  <c r="H497" i="1"/>
  <c r="I497" i="1"/>
  <c r="J497" i="1"/>
  <c r="K497" i="1"/>
  <c r="L497" i="1"/>
  <c r="A498" i="1"/>
  <c r="B498" i="1"/>
  <c r="C498" i="1"/>
  <c r="D498" i="1"/>
  <c r="E498" i="1"/>
  <c r="F498" i="1"/>
  <c r="G498" i="1"/>
  <c r="H498" i="1"/>
  <c r="I498" i="1"/>
  <c r="J498" i="1"/>
  <c r="K498" i="1"/>
  <c r="L498" i="1"/>
  <c r="A499" i="1"/>
  <c r="B499" i="1"/>
  <c r="C499" i="1"/>
  <c r="D499" i="1"/>
  <c r="E499" i="1"/>
  <c r="F499" i="1"/>
  <c r="G499" i="1"/>
  <c r="H499" i="1"/>
  <c r="I499" i="1"/>
  <c r="J499" i="1"/>
  <c r="K499" i="1"/>
  <c r="L499" i="1"/>
  <c r="A500" i="1"/>
  <c r="B500" i="1"/>
  <c r="C500" i="1"/>
  <c r="D500" i="1"/>
  <c r="E500" i="1"/>
  <c r="F500" i="1"/>
  <c r="G500" i="1"/>
  <c r="H500" i="1"/>
  <c r="I500" i="1"/>
  <c r="J500" i="1"/>
  <c r="K500" i="1"/>
  <c r="L500" i="1"/>
  <c r="A501" i="1"/>
  <c r="B501" i="1"/>
  <c r="C501" i="1"/>
  <c r="D501" i="1"/>
  <c r="E501" i="1"/>
  <c r="F501" i="1"/>
  <c r="G501" i="1"/>
  <c r="H501" i="1"/>
  <c r="I501" i="1"/>
  <c r="J501" i="1"/>
  <c r="K501" i="1"/>
  <c r="L501" i="1"/>
  <c r="A502" i="1"/>
  <c r="B502" i="1"/>
  <c r="C502" i="1"/>
  <c r="D502" i="1"/>
  <c r="E502" i="1"/>
  <c r="F502" i="1"/>
  <c r="G502" i="1"/>
  <c r="H502" i="1"/>
  <c r="I502" i="1"/>
  <c r="J502" i="1"/>
  <c r="K502" i="1"/>
  <c r="L502" i="1"/>
  <c r="A503" i="1"/>
  <c r="B503" i="1"/>
  <c r="C503" i="1"/>
  <c r="D503" i="1"/>
  <c r="E503" i="1"/>
  <c r="F503" i="1"/>
  <c r="G503" i="1"/>
  <c r="H503" i="1"/>
  <c r="I503" i="1"/>
  <c r="J503" i="1"/>
  <c r="K503" i="1"/>
  <c r="L503" i="1"/>
  <c r="A504" i="1"/>
  <c r="B504" i="1"/>
  <c r="C504" i="1"/>
  <c r="D504" i="1"/>
  <c r="E504" i="1"/>
  <c r="F504" i="1"/>
  <c r="G504" i="1"/>
  <c r="H504" i="1"/>
  <c r="I504" i="1"/>
  <c r="J504" i="1"/>
  <c r="K504" i="1"/>
  <c r="L504" i="1"/>
  <c r="A505" i="1"/>
  <c r="B505" i="1"/>
  <c r="C505" i="1"/>
  <c r="D505" i="1"/>
  <c r="E505" i="1"/>
  <c r="F505" i="1"/>
  <c r="G505" i="1"/>
  <c r="H505" i="1"/>
  <c r="I505" i="1"/>
  <c r="J505" i="1"/>
  <c r="K505" i="1"/>
  <c r="L505" i="1"/>
  <c r="A506" i="1"/>
  <c r="B506" i="1"/>
  <c r="C506" i="1"/>
  <c r="D506" i="1"/>
  <c r="E506" i="1"/>
  <c r="F506" i="1"/>
  <c r="G506" i="1"/>
  <c r="H506" i="1"/>
  <c r="I506" i="1"/>
  <c r="J506" i="1"/>
  <c r="K506" i="1"/>
  <c r="L506" i="1"/>
  <c r="A507" i="1"/>
  <c r="B507" i="1"/>
  <c r="C507" i="1"/>
  <c r="D507" i="1"/>
  <c r="E507" i="1"/>
  <c r="F507" i="1"/>
  <c r="G507" i="1"/>
  <c r="H507" i="1"/>
  <c r="I507" i="1"/>
  <c r="J507" i="1"/>
  <c r="K507" i="1"/>
  <c r="L507" i="1"/>
  <c r="A516" i="1"/>
  <c r="B516" i="1"/>
  <c r="C516" i="1"/>
  <c r="D516" i="1"/>
  <c r="E516" i="1"/>
  <c r="F516" i="1"/>
  <c r="G516" i="1"/>
  <c r="H516" i="1"/>
  <c r="I516" i="1"/>
  <c r="J516" i="1"/>
  <c r="K516" i="1"/>
  <c r="L516" i="1"/>
  <c r="A508" i="1"/>
  <c r="B508" i="1"/>
  <c r="C508" i="1"/>
  <c r="D508" i="1"/>
  <c r="E508" i="1"/>
  <c r="F508" i="1"/>
  <c r="G508" i="1"/>
  <c r="H508" i="1"/>
  <c r="I508" i="1"/>
  <c r="J508" i="1"/>
  <c r="K508" i="1"/>
  <c r="L508" i="1"/>
  <c r="A509" i="1"/>
  <c r="B509" i="1"/>
  <c r="C509" i="1"/>
  <c r="D509" i="1"/>
  <c r="E509" i="1"/>
  <c r="F509" i="1"/>
  <c r="G509" i="1"/>
  <c r="H509" i="1"/>
  <c r="I509" i="1"/>
  <c r="J509" i="1"/>
  <c r="K509" i="1"/>
  <c r="L509" i="1"/>
  <c r="A510" i="1"/>
  <c r="B510" i="1"/>
  <c r="C510" i="1"/>
  <c r="D510" i="1"/>
  <c r="E510" i="1"/>
  <c r="F510" i="1"/>
  <c r="G510" i="1"/>
  <c r="H510" i="1"/>
  <c r="I510" i="1"/>
  <c r="J510" i="1"/>
  <c r="K510" i="1"/>
  <c r="L510" i="1"/>
  <c r="A511" i="1"/>
  <c r="B511" i="1"/>
  <c r="C511" i="1"/>
  <c r="D511" i="1"/>
  <c r="E511" i="1"/>
  <c r="F511" i="1"/>
  <c r="G511" i="1"/>
  <c r="H511" i="1"/>
  <c r="I511" i="1"/>
  <c r="J511" i="1"/>
  <c r="K511" i="1"/>
  <c r="L511" i="1"/>
  <c r="A519" i="1"/>
  <c r="B519" i="1"/>
  <c r="C519" i="1"/>
  <c r="D519" i="1"/>
  <c r="E519" i="1"/>
  <c r="F519" i="1"/>
  <c r="G519" i="1"/>
  <c r="H519" i="1"/>
  <c r="I519" i="1"/>
  <c r="J519" i="1"/>
  <c r="K519" i="1"/>
  <c r="L519" i="1"/>
  <c r="A520" i="1"/>
  <c r="B520" i="1"/>
  <c r="C520" i="1"/>
  <c r="D520" i="1"/>
  <c r="E520" i="1"/>
  <c r="F520" i="1"/>
  <c r="G520" i="1"/>
  <c r="H520" i="1"/>
  <c r="I520" i="1"/>
  <c r="J520" i="1"/>
  <c r="K520" i="1"/>
  <c r="L520" i="1"/>
  <c r="A521" i="1"/>
  <c r="B521" i="1"/>
  <c r="C521" i="1"/>
  <c r="D521" i="1"/>
  <c r="E521" i="1"/>
  <c r="F521" i="1"/>
  <c r="G521" i="1"/>
  <c r="H521" i="1"/>
  <c r="I521" i="1"/>
  <c r="J521" i="1"/>
  <c r="K521" i="1"/>
  <c r="L521" i="1"/>
  <c r="A522" i="1"/>
  <c r="B522" i="1"/>
  <c r="C522" i="1"/>
  <c r="D522" i="1"/>
  <c r="E522" i="1"/>
  <c r="F522" i="1"/>
  <c r="G522" i="1"/>
  <c r="H522" i="1"/>
  <c r="I522" i="1"/>
  <c r="J522" i="1"/>
  <c r="K522" i="1"/>
  <c r="L522" i="1"/>
  <c r="A523" i="1"/>
  <c r="B523" i="1"/>
  <c r="C523" i="1"/>
  <c r="D523" i="1"/>
  <c r="E523" i="1"/>
  <c r="F523" i="1"/>
  <c r="G523" i="1"/>
  <c r="H523" i="1"/>
  <c r="I523" i="1"/>
  <c r="J523" i="1"/>
  <c r="K523" i="1"/>
  <c r="L523" i="1"/>
  <c r="A524" i="1"/>
  <c r="B524" i="1"/>
  <c r="C524" i="1"/>
  <c r="D524" i="1"/>
  <c r="E524" i="1"/>
  <c r="F524" i="1"/>
  <c r="G524" i="1"/>
  <c r="H524" i="1"/>
  <c r="I524" i="1"/>
  <c r="J524" i="1"/>
  <c r="K524" i="1"/>
  <c r="L524" i="1"/>
  <c r="A525" i="1"/>
  <c r="B525" i="1"/>
  <c r="C525" i="1"/>
  <c r="D525" i="1"/>
  <c r="E525" i="1"/>
  <c r="F525" i="1"/>
  <c r="G525" i="1"/>
  <c r="H525" i="1"/>
  <c r="I525" i="1"/>
  <c r="J525" i="1"/>
  <c r="K525" i="1"/>
  <c r="L525" i="1"/>
  <c r="A526" i="1"/>
  <c r="B526" i="1"/>
  <c r="C526" i="1"/>
  <c r="D526" i="1"/>
  <c r="E526" i="1"/>
  <c r="F526" i="1"/>
  <c r="G526" i="1"/>
  <c r="H526" i="1"/>
  <c r="I526" i="1"/>
  <c r="J526" i="1"/>
  <c r="K526" i="1"/>
  <c r="L526" i="1"/>
</calcChain>
</file>

<file path=xl/sharedStrings.xml><?xml version="1.0" encoding="utf-8"?>
<sst xmlns="http://schemas.openxmlformats.org/spreadsheetml/2006/main" count="16" uniqueCount="16">
  <si>
    <t>Katastr - Název</t>
  </si>
  <si>
    <t>Parcela - Číslo</t>
  </si>
  <si>
    <t>Parcela - Výměra</t>
  </si>
  <si>
    <t>Parcela - Druh pozemku</t>
  </si>
  <si>
    <t>Parcela - Využití</t>
  </si>
  <si>
    <t>Parcela - LV</t>
  </si>
  <si>
    <t>Vlastník - Obchodní jméno, příjmení jméno</t>
  </si>
  <si>
    <t>Vlastník - IČO</t>
  </si>
  <si>
    <t>Vlastník - Charakteristika</t>
  </si>
  <si>
    <t>Vlastník - Charakteristika typ</t>
  </si>
  <si>
    <t>Vlastník - Vlastnictví - Podíl</t>
  </si>
  <si>
    <t>Vlastník - Vlastnictví - Právní vztah</t>
  </si>
  <si>
    <t>Darkov</t>
  </si>
  <si>
    <t>Ráj</t>
  </si>
  <si>
    <t>Staré město u Karviné</t>
  </si>
  <si>
    <t>Stonava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</si>
</sst>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6"/>
  <sheetViews>
    <sheetView tabSelected="1" workbookViewId="0">
      <selection activeCell="A491" sqref="A491"/>
    </sheetView>
  </sheetViews>
  <sheetFormatPr defaultRowHeight="15" x14ac:dyDescent="0.25"/>
  <cols>
    <col min="1" max="1" width="18.5703125" customWidth="1"/>
    <col min="2" max="2" width="14.5703125" customWidth="1"/>
    <col min="3" max="3" width="16.28515625" customWidth="1"/>
    <col min="4" max="4" width="23.5703125" customWidth="1"/>
    <col min="5" max="5" width="26.5703125" customWidth="1"/>
    <col min="6" max="6" width="13.42578125" customWidth="1"/>
    <col min="7" max="7" width="40.5703125" customWidth="1"/>
    <col min="8" max="8" width="14.85546875" customWidth="1"/>
    <col min="9" max="9" width="41" customWidth="1"/>
    <col min="10" max="10" width="27.28515625" customWidth="1"/>
    <col min="11" max="11" width="25.85546875" customWidth="1"/>
    <col min="12" max="12" width="38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t="str">
        <f>"Darkov"</f>
        <v>Darkov</v>
      </c>
      <c r="B2" t="str">
        <f>"344"</f>
        <v>344</v>
      </c>
      <c r="C2" t="str">
        <f>"220"</f>
        <v>220</v>
      </c>
      <c r="D2" t="str">
        <f>"lesní pozemek"</f>
        <v>lesní pozemek</v>
      </c>
      <c r="E2" t="str">
        <f>""</f>
        <v/>
      </c>
      <c r="F2" t="str">
        <f>"10001"</f>
        <v>10001</v>
      </c>
      <c r="G2" t="str">
        <f>"Statutární město Karviná"</f>
        <v>Statutární město Karviná</v>
      </c>
      <c r="H2" t="str">
        <f>"297534"</f>
        <v>297534</v>
      </c>
      <c r="I2" t="str">
        <f>"jiná právnická osoba (vč. obce a kraje)"</f>
        <v>jiná právnická osoba (vč. obce a kraje)</v>
      </c>
      <c r="J2" t="str">
        <f>"OPO"</f>
        <v>OPO</v>
      </c>
      <c r="K2" t="str">
        <f>"1"</f>
        <v>1</v>
      </c>
      <c r="L2" t="str">
        <f>"Vlastnické právo"</f>
        <v>Vlastnické právo</v>
      </c>
    </row>
    <row r="3" spans="1:12" x14ac:dyDescent="0.25">
      <c r="A3" t="str">
        <f>"Darkov"</f>
        <v>Darkov</v>
      </c>
      <c r="B3" t="str">
        <f>"345"</f>
        <v>345</v>
      </c>
      <c r="C3" t="str">
        <f>"461"</f>
        <v>461</v>
      </c>
      <c r="D3" t="str">
        <f>"lesní pozemek"</f>
        <v>lesní pozemek</v>
      </c>
      <c r="E3" t="str">
        <f>"les jiný než hospodářský"</f>
        <v>les jiný než hospodářský</v>
      </c>
      <c r="F3" t="str">
        <f>"10001"</f>
        <v>10001</v>
      </c>
      <c r="G3" t="str">
        <f>"Statutární město Karviná"</f>
        <v>Statutární město Karviná</v>
      </c>
      <c r="H3" t="str">
        <f>"297534"</f>
        <v>297534</v>
      </c>
      <c r="I3" t="str">
        <f>"jiná právnická osoba (vč. obce a kraje)"</f>
        <v>jiná právnická osoba (vč. obce a kraje)</v>
      </c>
      <c r="J3" t="str">
        <f>"OPO"</f>
        <v>OPO</v>
      </c>
      <c r="K3" t="str">
        <f>"1"</f>
        <v>1</v>
      </c>
      <c r="L3" t="str">
        <f>"Vlastnické právo"</f>
        <v>Vlastnické právo</v>
      </c>
    </row>
    <row r="4" spans="1:12" x14ac:dyDescent="0.25">
      <c r="A4" t="str">
        <f>"Darkov"</f>
        <v>Darkov</v>
      </c>
      <c r="B4" t="str">
        <f>"346"</f>
        <v>346</v>
      </c>
      <c r="C4" t="str">
        <f>"804"</f>
        <v>804</v>
      </c>
      <c r="D4" t="str">
        <f>"lesní pozemek"</f>
        <v>lesní pozemek</v>
      </c>
      <c r="E4" t="str">
        <f>"les jiný než hospodářský"</f>
        <v>les jiný než hospodářský</v>
      </c>
      <c r="F4" t="str">
        <f>"10001"</f>
        <v>10001</v>
      </c>
      <c r="G4" t="str">
        <f>"Statutární město Karviná"</f>
        <v>Statutární město Karviná</v>
      </c>
      <c r="H4" t="str">
        <f>"297534"</f>
        <v>297534</v>
      </c>
      <c r="I4" t="str">
        <f>"jiná právnická osoba (vč. obce a kraje)"</f>
        <v>jiná právnická osoba (vč. obce a kraje)</v>
      </c>
      <c r="J4" t="str">
        <f>"OPO"</f>
        <v>OPO</v>
      </c>
      <c r="K4" t="str">
        <f>"1"</f>
        <v>1</v>
      </c>
      <c r="L4" t="str">
        <f>"Vlastnické právo"</f>
        <v>Vlastnické právo</v>
      </c>
    </row>
    <row r="5" spans="1:12" x14ac:dyDescent="0.25">
      <c r="A5" t="str">
        <f>"Darkov"</f>
        <v>Darkov</v>
      </c>
      <c r="B5" t="str">
        <f>"347"</f>
        <v>347</v>
      </c>
      <c r="C5" t="str">
        <f>"1038"</f>
        <v>1038</v>
      </c>
      <c r="D5" t="str">
        <f>"lesní pozemek"</f>
        <v>lesní pozemek</v>
      </c>
      <c r="E5" t="str">
        <f>""</f>
        <v/>
      </c>
      <c r="F5" t="str">
        <f>"10001"</f>
        <v>10001</v>
      </c>
      <c r="G5" t="str">
        <f>"Statutární město Karviná"</f>
        <v>Statutární město Karviná</v>
      </c>
      <c r="H5" t="str">
        <f>"297534"</f>
        <v>297534</v>
      </c>
      <c r="I5" t="str">
        <f>"jiná právnická osoba (vč. obce a kraje)"</f>
        <v>jiná právnická osoba (vč. obce a kraje)</v>
      </c>
      <c r="J5" t="str">
        <f>"OPO"</f>
        <v>OPO</v>
      </c>
      <c r="K5" t="str">
        <f>"1"</f>
        <v>1</v>
      </c>
      <c r="L5" t="str">
        <f>"Vlastnické právo"</f>
        <v>Vlastnické právo</v>
      </c>
    </row>
    <row r="6" spans="1:12" x14ac:dyDescent="0.25">
      <c r="A6" t="str">
        <f>"Darkov"</f>
        <v>Darkov</v>
      </c>
      <c r="B6" t="str">
        <f>"348/2"</f>
        <v>348/2</v>
      </c>
      <c r="C6" t="str">
        <f>"1584"</f>
        <v>1584</v>
      </c>
      <c r="D6" t="str">
        <f>"lesní pozemek"</f>
        <v>lesní pozemek</v>
      </c>
      <c r="E6" t="str">
        <f>""</f>
        <v/>
      </c>
      <c r="F6" t="str">
        <f>"10001"</f>
        <v>10001</v>
      </c>
      <c r="G6" t="str">
        <f>"Statutární město Karviná"</f>
        <v>Statutární město Karviná</v>
      </c>
      <c r="H6" t="str">
        <f>"297534"</f>
        <v>297534</v>
      </c>
      <c r="I6" t="str">
        <f>"jiná právnická osoba (vč. obce a kraje)"</f>
        <v>jiná právnická osoba (vč. obce a kraje)</v>
      </c>
      <c r="J6" t="str">
        <f>"OPO"</f>
        <v>OPO</v>
      </c>
      <c r="K6" t="str">
        <f>"1"</f>
        <v>1</v>
      </c>
      <c r="L6" t="str">
        <f>"Vlastnické právo"</f>
        <v>Vlastnické právo</v>
      </c>
    </row>
    <row r="7" spans="1:12" x14ac:dyDescent="0.25">
      <c r="A7" t="str">
        <f>"Darkov"</f>
        <v>Darkov</v>
      </c>
      <c r="B7" t="str">
        <f>"349/2"</f>
        <v>349/2</v>
      </c>
      <c r="C7" t="str">
        <f>"280"</f>
        <v>280</v>
      </c>
      <c r="D7" t="str">
        <f>"lesní pozemek"</f>
        <v>lesní pozemek</v>
      </c>
      <c r="E7" t="str">
        <f>""</f>
        <v/>
      </c>
      <c r="F7" t="str">
        <f>"10001"</f>
        <v>10001</v>
      </c>
      <c r="G7" t="str">
        <f>"Statutární město Karviná"</f>
        <v>Statutární město Karviná</v>
      </c>
      <c r="H7" t="str">
        <f>"297534"</f>
        <v>297534</v>
      </c>
      <c r="I7" t="str">
        <f>"jiná právnická osoba (vč. obce a kraje)"</f>
        <v>jiná právnická osoba (vč. obce a kraje)</v>
      </c>
      <c r="J7" t="str">
        <f>"OPO"</f>
        <v>OPO</v>
      </c>
      <c r="K7" t="str">
        <f>"1"</f>
        <v>1</v>
      </c>
      <c r="L7" t="str">
        <f>"Vlastnické právo"</f>
        <v>Vlastnické právo</v>
      </c>
    </row>
    <row r="8" spans="1:12" x14ac:dyDescent="0.25">
      <c r="A8" t="str">
        <f>"Darkov"</f>
        <v>Darkov</v>
      </c>
      <c r="B8" t="str">
        <f>"349/3"</f>
        <v>349/3</v>
      </c>
      <c r="C8" t="str">
        <f>"251"</f>
        <v>251</v>
      </c>
      <c r="D8" t="str">
        <f>"lesní pozemek"</f>
        <v>lesní pozemek</v>
      </c>
      <c r="E8" t="str">
        <f>""</f>
        <v/>
      </c>
      <c r="F8" t="str">
        <f>"10001"</f>
        <v>10001</v>
      </c>
      <c r="G8" t="str">
        <f>"Statutární město Karviná"</f>
        <v>Statutární město Karviná</v>
      </c>
      <c r="H8" t="str">
        <f>"297534"</f>
        <v>297534</v>
      </c>
      <c r="I8" t="str">
        <f>"jiná právnická osoba (vč. obce a kraje)"</f>
        <v>jiná právnická osoba (vč. obce a kraje)</v>
      </c>
      <c r="J8" t="str">
        <f>"OPO"</f>
        <v>OPO</v>
      </c>
      <c r="K8" t="str">
        <f>"1"</f>
        <v>1</v>
      </c>
      <c r="L8" t="str">
        <f>"Vlastnické právo"</f>
        <v>Vlastnické právo</v>
      </c>
    </row>
    <row r="9" spans="1:12" x14ac:dyDescent="0.25">
      <c r="A9" t="str">
        <f>"Darkov"</f>
        <v>Darkov</v>
      </c>
      <c r="B9" t="str">
        <f>"351/2"</f>
        <v>351/2</v>
      </c>
      <c r="C9" t="str">
        <f>"3077"</f>
        <v>3077</v>
      </c>
      <c r="D9" t="str">
        <f>"lesní pozemek"</f>
        <v>lesní pozemek</v>
      </c>
      <c r="E9" t="str">
        <f>"les jiný než hospodářský"</f>
        <v>les jiný než hospodářský</v>
      </c>
      <c r="F9" t="str">
        <f>"10001"</f>
        <v>10001</v>
      </c>
      <c r="G9" t="str">
        <f>"Statutární město Karviná"</f>
        <v>Statutární město Karviná</v>
      </c>
      <c r="H9" t="str">
        <f>"297534"</f>
        <v>297534</v>
      </c>
      <c r="I9" t="str">
        <f>"jiná právnická osoba (vč. obce a kraje)"</f>
        <v>jiná právnická osoba (vč. obce a kraje)</v>
      </c>
      <c r="J9" t="str">
        <f>"OPO"</f>
        <v>OPO</v>
      </c>
      <c r="K9" t="str">
        <f>"1"</f>
        <v>1</v>
      </c>
      <c r="L9" t="str">
        <f>"Vlastnické právo"</f>
        <v>Vlastnické právo</v>
      </c>
    </row>
    <row r="10" spans="1:12" x14ac:dyDescent="0.25">
      <c r="A10" t="str">
        <f>"Darkov"</f>
        <v>Darkov</v>
      </c>
      <c r="B10" t="str">
        <f>"352"</f>
        <v>352</v>
      </c>
      <c r="C10" t="str">
        <f>"331"</f>
        <v>331</v>
      </c>
      <c r="D10" t="str">
        <f>"lesní pozemek"</f>
        <v>lesní pozemek</v>
      </c>
      <c r="E10" t="str">
        <f>"les jiný než hospodářský"</f>
        <v>les jiný než hospodářský</v>
      </c>
      <c r="F10" t="str">
        <f>"10001"</f>
        <v>10001</v>
      </c>
      <c r="G10" t="str">
        <f>"Statutární město Karviná"</f>
        <v>Statutární město Karviná</v>
      </c>
      <c r="H10" t="str">
        <f>"297534"</f>
        <v>297534</v>
      </c>
      <c r="I10" t="str">
        <f>"jiná právnická osoba (vč. obce a kraje)"</f>
        <v>jiná právnická osoba (vč. obce a kraje)</v>
      </c>
      <c r="J10" t="str">
        <f>"OPO"</f>
        <v>OPO</v>
      </c>
      <c r="K10" t="str">
        <f>"1"</f>
        <v>1</v>
      </c>
      <c r="L10" t="str">
        <f>"Vlastnické právo"</f>
        <v>Vlastnické právo</v>
      </c>
    </row>
    <row r="11" spans="1:12" x14ac:dyDescent="0.25">
      <c r="A11" t="str">
        <f>"Darkov"</f>
        <v>Darkov</v>
      </c>
      <c r="B11" t="str">
        <f>"358"</f>
        <v>358</v>
      </c>
      <c r="C11" t="str">
        <f>"3393"</f>
        <v>3393</v>
      </c>
      <c r="D11" t="str">
        <f>"lesní pozemek"</f>
        <v>lesní pozemek</v>
      </c>
      <c r="E11" t="str">
        <f>"les jiný než hospodářský"</f>
        <v>les jiný než hospodářský</v>
      </c>
      <c r="F11" t="str">
        <f>"10001"</f>
        <v>10001</v>
      </c>
      <c r="G11" t="str">
        <f>"Statutární město Karviná"</f>
        <v>Statutární město Karviná</v>
      </c>
      <c r="H11" t="str">
        <f>"297534"</f>
        <v>297534</v>
      </c>
      <c r="I11" t="str">
        <f>"jiná právnická osoba (vč. obce a kraje)"</f>
        <v>jiná právnická osoba (vč. obce a kraje)</v>
      </c>
      <c r="J11" t="str">
        <f>"OPO"</f>
        <v>OPO</v>
      </c>
      <c r="K11" t="str">
        <f>"1"</f>
        <v>1</v>
      </c>
      <c r="L11" t="str">
        <f>"Vlastnické právo"</f>
        <v>Vlastnické právo</v>
      </c>
    </row>
    <row r="12" spans="1:12" x14ac:dyDescent="0.25">
      <c r="A12" t="str">
        <f>"Darkov"</f>
        <v>Darkov</v>
      </c>
      <c r="B12" t="str">
        <f>"359/2"</f>
        <v>359/2</v>
      </c>
      <c r="C12" t="str">
        <f>"905"</f>
        <v>905</v>
      </c>
      <c r="D12" t="str">
        <f>"lesní pozemek"</f>
        <v>lesní pozemek</v>
      </c>
      <c r="E12" t="str">
        <f>"les jiný než hospodářský"</f>
        <v>les jiný než hospodářský</v>
      </c>
      <c r="F12" t="str">
        <f>"10001"</f>
        <v>10001</v>
      </c>
      <c r="G12" t="str">
        <f>"Statutární město Karviná"</f>
        <v>Statutární město Karviná</v>
      </c>
      <c r="H12" t="str">
        <f>"297534"</f>
        <v>297534</v>
      </c>
      <c r="I12" t="str">
        <f>"jiná právnická osoba (vč. obce a kraje)"</f>
        <v>jiná právnická osoba (vč. obce a kraje)</v>
      </c>
      <c r="J12" t="str">
        <f>"OPO"</f>
        <v>OPO</v>
      </c>
      <c r="K12" t="str">
        <f>"1"</f>
        <v>1</v>
      </c>
      <c r="L12" t="str">
        <f>"Vlastnické právo"</f>
        <v>Vlastnické právo</v>
      </c>
    </row>
    <row r="13" spans="1:12" x14ac:dyDescent="0.25">
      <c r="A13" t="str">
        <f>"Darkov"</f>
        <v>Darkov</v>
      </c>
      <c r="B13" t="str">
        <f>"360"</f>
        <v>360</v>
      </c>
      <c r="C13" t="str">
        <f>"449"</f>
        <v>449</v>
      </c>
      <c r="D13" t="str">
        <f>"lesní pozemek"</f>
        <v>lesní pozemek</v>
      </c>
      <c r="E13" t="str">
        <f>"les jiný než hospodářský"</f>
        <v>les jiný než hospodářský</v>
      </c>
      <c r="F13" t="str">
        <f>"10001"</f>
        <v>10001</v>
      </c>
      <c r="G13" t="str">
        <f>"Statutární město Karviná"</f>
        <v>Statutární město Karviná</v>
      </c>
      <c r="H13" t="str">
        <f>"297534"</f>
        <v>297534</v>
      </c>
      <c r="I13" t="str">
        <f>"jiná právnická osoba (vč. obce a kraje)"</f>
        <v>jiná právnická osoba (vč. obce a kraje)</v>
      </c>
      <c r="J13" t="str">
        <f>"OPO"</f>
        <v>OPO</v>
      </c>
      <c r="K13" t="str">
        <f>"1"</f>
        <v>1</v>
      </c>
      <c r="L13" t="str">
        <f>"Vlastnické právo"</f>
        <v>Vlastnické právo</v>
      </c>
    </row>
    <row r="14" spans="1:12" x14ac:dyDescent="0.25">
      <c r="A14" t="str">
        <f>"Darkov"</f>
        <v>Darkov</v>
      </c>
      <c r="B14" t="str">
        <f>"362"</f>
        <v>362</v>
      </c>
      <c r="C14" t="str">
        <f>"869"</f>
        <v>869</v>
      </c>
      <c r="D14" t="str">
        <f>"lesní pozemek"</f>
        <v>lesní pozemek</v>
      </c>
      <c r="E14" t="str">
        <f>"les jiný než hospodářský"</f>
        <v>les jiný než hospodářský</v>
      </c>
      <c r="F14" t="str">
        <f>"10001"</f>
        <v>10001</v>
      </c>
      <c r="G14" t="str">
        <f>"Statutární město Karviná"</f>
        <v>Statutární město Karviná</v>
      </c>
      <c r="H14" t="str">
        <f>"297534"</f>
        <v>297534</v>
      </c>
      <c r="I14" t="str">
        <f>"jiná právnická osoba (vč. obce a kraje)"</f>
        <v>jiná právnická osoba (vč. obce a kraje)</v>
      </c>
      <c r="J14" t="str">
        <f>"OPO"</f>
        <v>OPO</v>
      </c>
      <c r="K14" t="str">
        <f>"1"</f>
        <v>1</v>
      </c>
      <c r="L14" t="str">
        <f>"Vlastnické právo"</f>
        <v>Vlastnické právo</v>
      </c>
    </row>
    <row r="15" spans="1:12" x14ac:dyDescent="0.25">
      <c r="A15" t="str">
        <f>"Darkov"</f>
        <v>Darkov</v>
      </c>
      <c r="B15" t="str">
        <f>"363"</f>
        <v>363</v>
      </c>
      <c r="C15" t="str">
        <f>"507"</f>
        <v>507</v>
      </c>
      <c r="D15" t="str">
        <f>"lesní pozemek"</f>
        <v>lesní pozemek</v>
      </c>
      <c r="E15" t="str">
        <f>"les jiný než hospodářský"</f>
        <v>les jiný než hospodářský</v>
      </c>
      <c r="F15" t="str">
        <f>"10001"</f>
        <v>10001</v>
      </c>
      <c r="G15" t="str">
        <f>"Statutární město Karviná"</f>
        <v>Statutární město Karviná</v>
      </c>
      <c r="H15" t="str">
        <f>"297534"</f>
        <v>297534</v>
      </c>
      <c r="I15" t="str">
        <f>"jiná právnická osoba (vč. obce a kraje)"</f>
        <v>jiná právnická osoba (vč. obce a kraje)</v>
      </c>
      <c r="J15" t="str">
        <f>"OPO"</f>
        <v>OPO</v>
      </c>
      <c r="K15" t="str">
        <f>"1"</f>
        <v>1</v>
      </c>
      <c r="L15" t="str">
        <f>"Vlastnické právo"</f>
        <v>Vlastnické právo</v>
      </c>
    </row>
    <row r="16" spans="1:12" x14ac:dyDescent="0.25">
      <c r="A16" t="str">
        <f>"Darkov"</f>
        <v>Darkov</v>
      </c>
      <c r="B16" t="str">
        <f>"365/1"</f>
        <v>365/1</v>
      </c>
      <c r="C16" t="str">
        <f>"2386"</f>
        <v>2386</v>
      </c>
      <c r="D16" t="str">
        <f>"lesní pozemek"</f>
        <v>lesní pozemek</v>
      </c>
      <c r="E16" t="str">
        <f>"les jiný než hospodářský"</f>
        <v>les jiný než hospodářský</v>
      </c>
      <c r="F16" t="str">
        <f>"10001"</f>
        <v>10001</v>
      </c>
      <c r="G16" t="str">
        <f>"Statutární město Karviná"</f>
        <v>Statutární město Karviná</v>
      </c>
      <c r="H16" t="str">
        <f>"297534"</f>
        <v>297534</v>
      </c>
      <c r="I16" t="str">
        <f>"jiná právnická osoba (vč. obce a kraje)"</f>
        <v>jiná právnická osoba (vč. obce a kraje)</v>
      </c>
      <c r="J16" t="str">
        <f>"OPO"</f>
        <v>OPO</v>
      </c>
      <c r="K16" t="str">
        <f>"1"</f>
        <v>1</v>
      </c>
      <c r="L16" t="str">
        <f>"Vlastnické právo"</f>
        <v>Vlastnické právo</v>
      </c>
    </row>
    <row r="17" spans="1:12" x14ac:dyDescent="0.25">
      <c r="A17" t="str">
        <f>"Darkov"</f>
        <v>Darkov</v>
      </c>
      <c r="B17" t="str">
        <f>"365/2"</f>
        <v>365/2</v>
      </c>
      <c r="C17" t="str">
        <f>"366"</f>
        <v>366</v>
      </c>
      <c r="D17" t="str">
        <f>"lesní pozemek"</f>
        <v>lesní pozemek</v>
      </c>
      <c r="E17" t="str">
        <f>"les jiný než hospodářský"</f>
        <v>les jiný než hospodářský</v>
      </c>
      <c r="F17" t="str">
        <f>"10001"</f>
        <v>10001</v>
      </c>
      <c r="G17" t="str">
        <f>"Statutární město Karviná"</f>
        <v>Statutární město Karviná</v>
      </c>
      <c r="H17" t="str">
        <f>"297534"</f>
        <v>297534</v>
      </c>
      <c r="I17" t="str">
        <f>"jiná právnická osoba (vč. obce a kraje)"</f>
        <v>jiná právnická osoba (vč. obce a kraje)</v>
      </c>
      <c r="J17" t="str">
        <f>"OPO"</f>
        <v>OPO</v>
      </c>
      <c r="K17" t="str">
        <f>"1"</f>
        <v>1</v>
      </c>
      <c r="L17" t="str">
        <f>"Vlastnické právo"</f>
        <v>Vlastnické právo</v>
      </c>
    </row>
    <row r="18" spans="1:12" x14ac:dyDescent="0.25">
      <c r="A18" t="str">
        <f>"Darkov"</f>
        <v>Darkov</v>
      </c>
      <c r="B18" t="str">
        <f>"366"</f>
        <v>366</v>
      </c>
      <c r="C18" t="str">
        <f>"2523"</f>
        <v>2523</v>
      </c>
      <c r="D18" t="str">
        <f>"lesní pozemek"</f>
        <v>lesní pozemek</v>
      </c>
      <c r="E18" t="str">
        <f>"les jiný než hospodářský"</f>
        <v>les jiný než hospodářský</v>
      </c>
      <c r="F18" t="str">
        <f>"10001"</f>
        <v>10001</v>
      </c>
      <c r="G18" t="str">
        <f>"Statutární město Karviná"</f>
        <v>Statutární město Karviná</v>
      </c>
      <c r="H18" t="str">
        <f>"297534"</f>
        <v>297534</v>
      </c>
      <c r="I18" t="str">
        <f>"jiná právnická osoba (vč. obce a kraje)"</f>
        <v>jiná právnická osoba (vč. obce a kraje)</v>
      </c>
      <c r="J18" t="str">
        <f>"OPO"</f>
        <v>OPO</v>
      </c>
      <c r="K18" t="str">
        <f>"1"</f>
        <v>1</v>
      </c>
      <c r="L18" t="str">
        <f>"Vlastnické právo"</f>
        <v>Vlastnické právo</v>
      </c>
    </row>
    <row r="19" spans="1:12" x14ac:dyDescent="0.25">
      <c r="A19" t="str">
        <f>"Darkov"</f>
        <v>Darkov</v>
      </c>
      <c r="B19" t="str">
        <f>"371/1"</f>
        <v>371/1</v>
      </c>
      <c r="C19" t="str">
        <f>"1987"</f>
        <v>1987</v>
      </c>
      <c r="D19" t="str">
        <f>"lesní pozemek"</f>
        <v>lesní pozemek</v>
      </c>
      <c r="E19" t="str">
        <f>"les jiný než hospodářský"</f>
        <v>les jiný než hospodářský</v>
      </c>
      <c r="F19" t="str">
        <f>"10001"</f>
        <v>10001</v>
      </c>
      <c r="G19" t="str">
        <f>"Statutární město Karviná"</f>
        <v>Statutární město Karviná</v>
      </c>
      <c r="H19" t="str">
        <f>"297534"</f>
        <v>297534</v>
      </c>
      <c r="I19" t="str">
        <f>"jiná právnická osoba (vč. obce a kraje)"</f>
        <v>jiná právnická osoba (vč. obce a kraje)</v>
      </c>
      <c r="J19" t="str">
        <f>"OPO"</f>
        <v>OPO</v>
      </c>
      <c r="K19" t="str">
        <f>"1"</f>
        <v>1</v>
      </c>
      <c r="L19" t="str">
        <f>"Vlastnické právo"</f>
        <v>Vlastnické právo</v>
      </c>
    </row>
    <row r="20" spans="1:12" x14ac:dyDescent="0.25">
      <c r="A20" t="str">
        <f>"Darkov"</f>
        <v>Darkov</v>
      </c>
      <c r="B20" t="str">
        <f>"371/2"</f>
        <v>371/2</v>
      </c>
      <c r="C20" t="str">
        <f>"552"</f>
        <v>552</v>
      </c>
      <c r="D20" t="str">
        <f>"lesní pozemek"</f>
        <v>lesní pozemek</v>
      </c>
      <c r="E20" t="str">
        <f>"les jiný než hospodářský"</f>
        <v>les jiný než hospodářský</v>
      </c>
      <c r="F20" t="str">
        <f>"10001"</f>
        <v>10001</v>
      </c>
      <c r="G20" t="str">
        <f>"Statutární město Karviná"</f>
        <v>Statutární město Karviná</v>
      </c>
      <c r="H20" t="str">
        <f>"297534"</f>
        <v>297534</v>
      </c>
      <c r="I20" t="str">
        <f>"jiná právnická osoba (vč. obce a kraje)"</f>
        <v>jiná právnická osoba (vč. obce a kraje)</v>
      </c>
      <c r="J20" t="str">
        <f>"OPO"</f>
        <v>OPO</v>
      </c>
      <c r="K20" t="str">
        <f>"1"</f>
        <v>1</v>
      </c>
      <c r="L20" t="str">
        <f>"Vlastnické právo"</f>
        <v>Vlastnické právo</v>
      </c>
    </row>
    <row r="21" spans="1:12" x14ac:dyDescent="0.25">
      <c r="A21" t="str">
        <f>"Darkov"</f>
        <v>Darkov</v>
      </c>
      <c r="B21" t="str">
        <f>"371/3"</f>
        <v>371/3</v>
      </c>
      <c r="C21" t="str">
        <f>"562"</f>
        <v>562</v>
      </c>
      <c r="D21" t="str">
        <f>"lesní pozemek"</f>
        <v>lesní pozemek</v>
      </c>
      <c r="E21" t="str">
        <f>"les jiný než hospodářský"</f>
        <v>les jiný než hospodářský</v>
      </c>
      <c r="F21" t="str">
        <f>"10001"</f>
        <v>10001</v>
      </c>
      <c r="G21" t="str">
        <f>"Statutární město Karviná"</f>
        <v>Statutární město Karviná</v>
      </c>
      <c r="H21" t="str">
        <f>"297534"</f>
        <v>297534</v>
      </c>
      <c r="I21" t="str">
        <f>"jiná právnická osoba (vč. obce a kraje)"</f>
        <v>jiná právnická osoba (vč. obce a kraje)</v>
      </c>
      <c r="J21" t="str">
        <f>"OPO"</f>
        <v>OPO</v>
      </c>
      <c r="K21" t="str">
        <f>"1"</f>
        <v>1</v>
      </c>
      <c r="L21" t="str">
        <f>"Vlastnické právo"</f>
        <v>Vlastnické právo</v>
      </c>
    </row>
    <row r="22" spans="1:12" x14ac:dyDescent="0.25">
      <c r="A22" t="str">
        <f>"Darkov"</f>
        <v>Darkov</v>
      </c>
      <c r="B22" t="str">
        <f>"372/2"</f>
        <v>372/2</v>
      </c>
      <c r="C22" t="str">
        <f>"490"</f>
        <v>490</v>
      </c>
      <c r="D22" t="str">
        <f>"lesní pozemek"</f>
        <v>lesní pozemek</v>
      </c>
      <c r="E22" t="str">
        <f>"les jiný než hospodářský"</f>
        <v>les jiný než hospodářský</v>
      </c>
      <c r="F22" t="str">
        <f>"10001"</f>
        <v>10001</v>
      </c>
      <c r="G22" t="str">
        <f>"Statutární město Karviná"</f>
        <v>Statutární město Karviná</v>
      </c>
      <c r="H22" t="str">
        <f>"297534"</f>
        <v>297534</v>
      </c>
      <c r="I22" t="str">
        <f>"jiná právnická osoba (vč. obce a kraje)"</f>
        <v>jiná právnická osoba (vč. obce a kraje)</v>
      </c>
      <c r="J22" t="str">
        <f>"OPO"</f>
        <v>OPO</v>
      </c>
      <c r="K22" t="str">
        <f>"1"</f>
        <v>1</v>
      </c>
      <c r="L22" t="str">
        <f>"Vlastnické právo"</f>
        <v>Vlastnické právo</v>
      </c>
    </row>
    <row r="23" spans="1:12" x14ac:dyDescent="0.25">
      <c r="A23" t="str">
        <f>"Darkov"</f>
        <v>Darkov</v>
      </c>
      <c r="B23" t="str">
        <f>"373"</f>
        <v>373</v>
      </c>
      <c r="C23" t="str">
        <f>"1529"</f>
        <v>1529</v>
      </c>
      <c r="D23" t="str">
        <f>"lesní pozemek"</f>
        <v>lesní pozemek</v>
      </c>
      <c r="E23" t="str">
        <f>"les jiný než hospodářský"</f>
        <v>les jiný než hospodářský</v>
      </c>
      <c r="F23" t="str">
        <f>"10001"</f>
        <v>10001</v>
      </c>
      <c r="G23" t="str">
        <f>"Statutární město Karviná"</f>
        <v>Statutární město Karviná</v>
      </c>
      <c r="H23" t="str">
        <f>"297534"</f>
        <v>297534</v>
      </c>
      <c r="I23" t="str">
        <f>"jiná právnická osoba (vč. obce a kraje)"</f>
        <v>jiná právnická osoba (vč. obce a kraje)</v>
      </c>
      <c r="J23" t="str">
        <f>"OPO"</f>
        <v>OPO</v>
      </c>
      <c r="K23" t="str">
        <f>"1"</f>
        <v>1</v>
      </c>
      <c r="L23" t="str">
        <f>"Vlastnické právo"</f>
        <v>Vlastnické právo</v>
      </c>
    </row>
    <row r="24" spans="1:12" x14ac:dyDescent="0.25">
      <c r="A24" t="str">
        <f>"Darkov"</f>
        <v>Darkov</v>
      </c>
      <c r="B24" t="str">
        <f>"374"</f>
        <v>374</v>
      </c>
      <c r="C24" t="str">
        <f>"391"</f>
        <v>391</v>
      </c>
      <c r="D24" t="str">
        <f>"lesní pozemek"</f>
        <v>lesní pozemek</v>
      </c>
      <c r="E24" t="str">
        <f>"les jiný než hospodářský"</f>
        <v>les jiný než hospodářský</v>
      </c>
      <c r="F24" t="str">
        <f>"10001"</f>
        <v>10001</v>
      </c>
      <c r="G24" t="str">
        <f>"Statutární město Karviná"</f>
        <v>Statutární město Karviná</v>
      </c>
      <c r="H24" t="str">
        <f>"297534"</f>
        <v>297534</v>
      </c>
      <c r="I24" t="str">
        <f>"jiná právnická osoba (vč. obce a kraje)"</f>
        <v>jiná právnická osoba (vč. obce a kraje)</v>
      </c>
      <c r="J24" t="str">
        <f>"OPO"</f>
        <v>OPO</v>
      </c>
      <c r="K24" t="str">
        <f>"1"</f>
        <v>1</v>
      </c>
      <c r="L24" t="str">
        <f>"Vlastnické právo"</f>
        <v>Vlastnické právo</v>
      </c>
    </row>
    <row r="25" spans="1:12" x14ac:dyDescent="0.25">
      <c r="A25" t="str">
        <f>"Darkov"</f>
        <v>Darkov</v>
      </c>
      <c r="B25" t="str">
        <f>"375"</f>
        <v>375</v>
      </c>
      <c r="C25" t="str">
        <f>"366"</f>
        <v>366</v>
      </c>
      <c r="D25" t="str">
        <f>"lesní pozemek"</f>
        <v>lesní pozemek</v>
      </c>
      <c r="E25" t="str">
        <f>"les jiný než hospodářský"</f>
        <v>les jiný než hospodářský</v>
      </c>
      <c r="F25" t="str">
        <f>"10001"</f>
        <v>10001</v>
      </c>
      <c r="G25" t="str">
        <f>"Statutární město Karviná"</f>
        <v>Statutární město Karviná</v>
      </c>
      <c r="H25" t="str">
        <f>"297534"</f>
        <v>297534</v>
      </c>
      <c r="I25" t="str">
        <f>"jiná právnická osoba (vč. obce a kraje)"</f>
        <v>jiná právnická osoba (vč. obce a kraje)</v>
      </c>
      <c r="J25" t="str">
        <f>"OPO"</f>
        <v>OPO</v>
      </c>
      <c r="K25" t="str">
        <f>"1"</f>
        <v>1</v>
      </c>
      <c r="L25" t="str">
        <f>"Vlastnické právo"</f>
        <v>Vlastnické právo</v>
      </c>
    </row>
    <row r="26" spans="1:12" x14ac:dyDescent="0.25">
      <c r="A26" t="str">
        <f>"Darkov"</f>
        <v>Darkov</v>
      </c>
      <c r="B26" t="str">
        <f>"376/2"</f>
        <v>376/2</v>
      </c>
      <c r="C26" t="str">
        <f>"1210"</f>
        <v>1210</v>
      </c>
      <c r="D26" t="str">
        <f>"lesní pozemek"</f>
        <v>lesní pozemek</v>
      </c>
      <c r="E26" t="str">
        <f>""</f>
        <v/>
      </c>
      <c r="F26" t="str">
        <f>"10001"</f>
        <v>10001</v>
      </c>
      <c r="G26" t="str">
        <f>"Statutární město Karviná"</f>
        <v>Statutární město Karviná</v>
      </c>
      <c r="H26" t="str">
        <f>"297534"</f>
        <v>297534</v>
      </c>
      <c r="I26" t="str">
        <f>"jiná právnická osoba (vč. obce a kraje)"</f>
        <v>jiná právnická osoba (vč. obce a kraje)</v>
      </c>
      <c r="J26" t="str">
        <f>"OPO"</f>
        <v>OPO</v>
      </c>
      <c r="K26" t="str">
        <f>"1"</f>
        <v>1</v>
      </c>
      <c r="L26" t="str">
        <f>"Vlastnické právo"</f>
        <v>Vlastnické právo</v>
      </c>
    </row>
    <row r="27" spans="1:12" x14ac:dyDescent="0.25">
      <c r="A27" t="str">
        <f>"Darkov"</f>
        <v>Darkov</v>
      </c>
      <c r="B27" t="str">
        <f>"377"</f>
        <v>377</v>
      </c>
      <c r="C27" t="str">
        <f>"305"</f>
        <v>305</v>
      </c>
      <c r="D27" t="str">
        <f>"lesní pozemek"</f>
        <v>lesní pozemek</v>
      </c>
      <c r="E27" t="str">
        <f>"les jiný než hospodářský"</f>
        <v>les jiný než hospodářský</v>
      </c>
      <c r="F27" t="str">
        <f>"10001"</f>
        <v>10001</v>
      </c>
      <c r="G27" t="str">
        <f>"Statutární město Karviná"</f>
        <v>Statutární město Karviná</v>
      </c>
      <c r="H27" t="str">
        <f>"297534"</f>
        <v>297534</v>
      </c>
      <c r="I27" t="str">
        <f>"jiná právnická osoba (vč. obce a kraje)"</f>
        <v>jiná právnická osoba (vč. obce a kraje)</v>
      </c>
      <c r="J27" t="str">
        <f>"OPO"</f>
        <v>OPO</v>
      </c>
      <c r="K27" t="str">
        <f>"1"</f>
        <v>1</v>
      </c>
      <c r="L27" t="str">
        <f>"Vlastnické právo"</f>
        <v>Vlastnické právo</v>
      </c>
    </row>
    <row r="28" spans="1:12" x14ac:dyDescent="0.25">
      <c r="A28" t="str">
        <f>"Darkov"</f>
        <v>Darkov</v>
      </c>
      <c r="B28" t="str">
        <f>"378"</f>
        <v>378</v>
      </c>
      <c r="C28" t="str">
        <f>"854"</f>
        <v>854</v>
      </c>
      <c r="D28" t="str">
        <f>"lesní pozemek"</f>
        <v>lesní pozemek</v>
      </c>
      <c r="E28" t="str">
        <f>"les jiný než hospodářský"</f>
        <v>les jiný než hospodářský</v>
      </c>
      <c r="F28" t="str">
        <f>"10001"</f>
        <v>10001</v>
      </c>
      <c r="G28" t="str">
        <f>"Statutární město Karviná"</f>
        <v>Statutární město Karviná</v>
      </c>
      <c r="H28" t="str">
        <f>"297534"</f>
        <v>297534</v>
      </c>
      <c r="I28" t="str">
        <f>"jiná právnická osoba (vč. obce a kraje)"</f>
        <v>jiná právnická osoba (vč. obce a kraje)</v>
      </c>
      <c r="J28" t="str">
        <f>"OPO"</f>
        <v>OPO</v>
      </c>
      <c r="K28" t="str">
        <f>"1"</f>
        <v>1</v>
      </c>
      <c r="L28" t="str">
        <f>"Vlastnické právo"</f>
        <v>Vlastnické právo</v>
      </c>
    </row>
    <row r="29" spans="1:12" x14ac:dyDescent="0.25">
      <c r="A29" t="str">
        <f>"Darkov"</f>
        <v>Darkov</v>
      </c>
      <c r="B29" t="str">
        <f>"379"</f>
        <v>379</v>
      </c>
      <c r="C29" t="str">
        <f>"3475"</f>
        <v>3475</v>
      </c>
      <c r="D29" t="str">
        <f>"lesní pozemek"</f>
        <v>lesní pozemek</v>
      </c>
      <c r="E29" t="str">
        <f>"les jiný než hospodářský"</f>
        <v>les jiný než hospodářský</v>
      </c>
      <c r="F29" t="str">
        <f>"10001"</f>
        <v>10001</v>
      </c>
      <c r="G29" t="str">
        <f>"Statutární město Karviná"</f>
        <v>Statutární město Karviná</v>
      </c>
      <c r="H29" t="str">
        <f>"297534"</f>
        <v>297534</v>
      </c>
      <c r="I29" t="str">
        <f>"jiná právnická osoba (vč. obce a kraje)"</f>
        <v>jiná právnická osoba (vč. obce a kraje)</v>
      </c>
      <c r="J29" t="str">
        <f>"OPO"</f>
        <v>OPO</v>
      </c>
      <c r="K29" t="str">
        <f>"1"</f>
        <v>1</v>
      </c>
      <c r="L29" t="str">
        <f>"Vlastnické právo"</f>
        <v>Vlastnické právo</v>
      </c>
    </row>
    <row r="30" spans="1:12" x14ac:dyDescent="0.25">
      <c r="A30" t="str">
        <f>"Darkov"</f>
        <v>Darkov</v>
      </c>
      <c r="B30" t="str">
        <f>"385"</f>
        <v>385</v>
      </c>
      <c r="C30" t="str">
        <f>"411"</f>
        <v>411</v>
      </c>
      <c r="D30" t="str">
        <f>"lesní pozemek"</f>
        <v>lesní pozemek</v>
      </c>
      <c r="E30" t="str">
        <f>"les jiný než hospodářský"</f>
        <v>les jiný než hospodářský</v>
      </c>
      <c r="F30" t="str">
        <f>"10001"</f>
        <v>10001</v>
      </c>
      <c r="G30" t="str">
        <f>"Statutární město Karviná"</f>
        <v>Statutární město Karviná</v>
      </c>
      <c r="H30" t="str">
        <f>"297534"</f>
        <v>297534</v>
      </c>
      <c r="I30" t="str">
        <f>"jiná právnická osoba (vč. obce a kraje)"</f>
        <v>jiná právnická osoba (vč. obce a kraje)</v>
      </c>
      <c r="J30" t="str">
        <f>"OPO"</f>
        <v>OPO</v>
      </c>
      <c r="K30" t="str">
        <f>"1"</f>
        <v>1</v>
      </c>
      <c r="L30" t="str">
        <f>"Vlastnické právo"</f>
        <v>Vlastnické právo</v>
      </c>
    </row>
    <row r="31" spans="1:12" x14ac:dyDescent="0.25">
      <c r="A31" t="str">
        <f>"Darkov"</f>
        <v>Darkov</v>
      </c>
      <c r="B31" t="str">
        <f>"386/1"</f>
        <v>386/1</v>
      </c>
      <c r="C31" t="str">
        <f>"712"</f>
        <v>712</v>
      </c>
      <c r="D31" t="str">
        <f>"lesní pozemek"</f>
        <v>lesní pozemek</v>
      </c>
      <c r="E31" t="str">
        <f>"les jiný než hospodářský"</f>
        <v>les jiný než hospodářský</v>
      </c>
      <c r="F31" t="str">
        <f>"10001"</f>
        <v>10001</v>
      </c>
      <c r="G31" t="str">
        <f>"Statutární město Karviná"</f>
        <v>Statutární město Karviná</v>
      </c>
      <c r="H31" t="str">
        <f>"297534"</f>
        <v>297534</v>
      </c>
      <c r="I31" t="str">
        <f>"jiná právnická osoba (vč. obce a kraje)"</f>
        <v>jiná právnická osoba (vč. obce a kraje)</v>
      </c>
      <c r="J31" t="str">
        <f>"OPO"</f>
        <v>OPO</v>
      </c>
      <c r="K31" t="str">
        <f>"1"</f>
        <v>1</v>
      </c>
      <c r="L31" t="str">
        <f>"Vlastnické právo"</f>
        <v>Vlastnické právo</v>
      </c>
    </row>
    <row r="32" spans="1:12" x14ac:dyDescent="0.25">
      <c r="A32" t="str">
        <f>"Darkov"</f>
        <v>Darkov</v>
      </c>
      <c r="B32" t="str">
        <f>"386/2"</f>
        <v>386/2</v>
      </c>
      <c r="C32" t="str">
        <f>"92"</f>
        <v>92</v>
      </c>
      <c r="D32" t="str">
        <f>"lesní pozemek"</f>
        <v>lesní pozemek</v>
      </c>
      <c r="E32" t="str">
        <f>"les jiný než hospodářský"</f>
        <v>les jiný než hospodářský</v>
      </c>
      <c r="F32" t="str">
        <f>"10001"</f>
        <v>10001</v>
      </c>
      <c r="G32" t="str">
        <f>"Statutární město Karviná"</f>
        <v>Statutární město Karviná</v>
      </c>
      <c r="H32" t="str">
        <f>"297534"</f>
        <v>297534</v>
      </c>
      <c r="I32" t="str">
        <f>"jiná právnická osoba (vč. obce a kraje)"</f>
        <v>jiná právnická osoba (vč. obce a kraje)</v>
      </c>
      <c r="J32" t="str">
        <f>"OPO"</f>
        <v>OPO</v>
      </c>
      <c r="K32" t="str">
        <f>"1"</f>
        <v>1</v>
      </c>
      <c r="L32" t="str">
        <f>"Vlastnické právo"</f>
        <v>Vlastnické právo</v>
      </c>
    </row>
    <row r="33" spans="1:12" x14ac:dyDescent="0.25">
      <c r="A33" t="str">
        <f>"Darkov"</f>
        <v>Darkov</v>
      </c>
      <c r="B33" t="str">
        <f>"387/1"</f>
        <v>387/1</v>
      </c>
      <c r="C33" t="str">
        <f>"377"</f>
        <v>377</v>
      </c>
      <c r="D33" t="str">
        <f>"lesní pozemek"</f>
        <v>lesní pozemek</v>
      </c>
      <c r="E33" t="str">
        <f>"les jiný než hospodářský"</f>
        <v>les jiný než hospodářský</v>
      </c>
      <c r="F33" t="str">
        <f>"10001"</f>
        <v>10001</v>
      </c>
      <c r="G33" t="str">
        <f>"Statutární město Karviná"</f>
        <v>Statutární město Karviná</v>
      </c>
      <c r="H33" t="str">
        <f>"297534"</f>
        <v>297534</v>
      </c>
      <c r="I33" t="str">
        <f>"jiná právnická osoba (vč. obce a kraje)"</f>
        <v>jiná právnická osoba (vč. obce a kraje)</v>
      </c>
      <c r="J33" t="str">
        <f>"OPO"</f>
        <v>OPO</v>
      </c>
      <c r="K33" t="str">
        <f>"1"</f>
        <v>1</v>
      </c>
      <c r="L33" t="str">
        <f>"Vlastnické právo"</f>
        <v>Vlastnické právo</v>
      </c>
    </row>
    <row r="34" spans="1:12" x14ac:dyDescent="0.25">
      <c r="A34" t="str">
        <f>"Darkov"</f>
        <v>Darkov</v>
      </c>
      <c r="B34" t="str">
        <f>"387/2"</f>
        <v>387/2</v>
      </c>
      <c r="C34" t="str">
        <f>"323"</f>
        <v>323</v>
      </c>
      <c r="D34" t="str">
        <f>"lesní pozemek"</f>
        <v>lesní pozemek</v>
      </c>
      <c r="E34" t="str">
        <f>"les jiný než hospodářský"</f>
        <v>les jiný než hospodářský</v>
      </c>
      <c r="F34" t="str">
        <f>"10001"</f>
        <v>10001</v>
      </c>
      <c r="G34" t="str">
        <f>"Statutární město Karviná"</f>
        <v>Statutární město Karviná</v>
      </c>
      <c r="H34" t="str">
        <f>"297534"</f>
        <v>297534</v>
      </c>
      <c r="I34" t="str">
        <f>"jiná právnická osoba (vč. obce a kraje)"</f>
        <v>jiná právnická osoba (vč. obce a kraje)</v>
      </c>
      <c r="J34" t="str">
        <f>"OPO"</f>
        <v>OPO</v>
      </c>
      <c r="K34" t="str">
        <f>"1"</f>
        <v>1</v>
      </c>
      <c r="L34" t="str">
        <f>"Vlastnické právo"</f>
        <v>Vlastnické právo</v>
      </c>
    </row>
    <row r="35" spans="1:12" x14ac:dyDescent="0.25">
      <c r="A35" t="str">
        <f>"Darkov"</f>
        <v>Darkov</v>
      </c>
      <c r="B35" t="str">
        <f>"443/1"</f>
        <v>443/1</v>
      </c>
      <c r="C35" t="str">
        <f>"1898"</f>
        <v>1898</v>
      </c>
      <c r="D35" t="str">
        <f>"lesní pozemek"</f>
        <v>lesní pozemek</v>
      </c>
      <c r="E35" t="str">
        <f>""</f>
        <v/>
      </c>
      <c r="F35" t="str">
        <f>"10001"</f>
        <v>10001</v>
      </c>
      <c r="G35" t="str">
        <f>"Statutární město Karviná"</f>
        <v>Statutární město Karviná</v>
      </c>
      <c r="H35" t="str">
        <f>"297534"</f>
        <v>297534</v>
      </c>
      <c r="I35" t="str">
        <f>"jiná právnická osoba (vč. obce a kraje)"</f>
        <v>jiná právnická osoba (vč. obce a kraje)</v>
      </c>
      <c r="J35" t="str">
        <f>"OPO"</f>
        <v>OPO</v>
      </c>
      <c r="K35" t="str">
        <f>"1"</f>
        <v>1</v>
      </c>
      <c r="L35" t="str">
        <f>"Vlastnické právo"</f>
        <v>Vlastnické právo</v>
      </c>
    </row>
    <row r="36" spans="1:12" x14ac:dyDescent="0.25">
      <c r="A36" t="str">
        <f>"Darkov"</f>
        <v>Darkov</v>
      </c>
      <c r="B36" t="str">
        <f>"493"</f>
        <v>493</v>
      </c>
      <c r="C36" t="str">
        <f>"501"</f>
        <v>501</v>
      </c>
      <c r="D36" t="str">
        <f>"lesní pozemek"</f>
        <v>lesní pozemek</v>
      </c>
      <c r="E36" t="str">
        <f>"les jiný než hospodářský"</f>
        <v>les jiný než hospodářský</v>
      </c>
      <c r="F36" t="str">
        <f>"10001"</f>
        <v>10001</v>
      </c>
      <c r="G36" t="str">
        <f>"Statutární město Karviná"</f>
        <v>Statutární město Karviná</v>
      </c>
      <c r="H36" t="str">
        <f>"297534"</f>
        <v>297534</v>
      </c>
      <c r="I36" t="str">
        <f>"jiná právnická osoba (vč. obce a kraje)"</f>
        <v>jiná právnická osoba (vč. obce a kraje)</v>
      </c>
      <c r="J36" t="str">
        <f>"OPO"</f>
        <v>OPO</v>
      </c>
      <c r="K36" t="str">
        <f>"1"</f>
        <v>1</v>
      </c>
      <c r="L36" t="str">
        <f>"Vlastnické právo"</f>
        <v>Vlastnické právo</v>
      </c>
    </row>
    <row r="37" spans="1:12" x14ac:dyDescent="0.25">
      <c r="A37" t="str">
        <f>"Darkov"</f>
        <v>Darkov</v>
      </c>
      <c r="B37" t="str">
        <f>"498/2"</f>
        <v>498/2</v>
      </c>
      <c r="C37" t="str">
        <f>"37"</f>
        <v>37</v>
      </c>
      <c r="D37" t="str">
        <f>"lesní pozemek"</f>
        <v>lesní pozemek</v>
      </c>
      <c r="E37" t="str">
        <f>""</f>
        <v/>
      </c>
      <c r="F37" t="str">
        <f>"10001"</f>
        <v>10001</v>
      </c>
      <c r="G37" t="str">
        <f>"Statutární město Karviná"</f>
        <v>Statutární město Karviná</v>
      </c>
      <c r="H37" t="str">
        <f>"297534"</f>
        <v>297534</v>
      </c>
      <c r="I37" t="str">
        <f>"jiná právnická osoba (vč. obce a kraje)"</f>
        <v>jiná právnická osoba (vč. obce a kraje)</v>
      </c>
      <c r="J37" t="str">
        <f>"OPO"</f>
        <v>OPO</v>
      </c>
      <c r="K37" t="str">
        <f>"1"</f>
        <v>1</v>
      </c>
      <c r="L37" t="str">
        <f>"Vlastnické právo"</f>
        <v>Vlastnické právo</v>
      </c>
    </row>
    <row r="38" spans="1:12" x14ac:dyDescent="0.25">
      <c r="A38" t="str">
        <f>"Darkov"</f>
        <v>Darkov</v>
      </c>
      <c r="B38" t="str">
        <f>"498/4"</f>
        <v>498/4</v>
      </c>
      <c r="C38" t="str">
        <f>"44"</f>
        <v>44</v>
      </c>
      <c r="D38" t="str">
        <f>"lesní pozemek"</f>
        <v>lesní pozemek</v>
      </c>
      <c r="E38" t="str">
        <f>""</f>
        <v/>
      </c>
      <c r="F38" t="str">
        <f>"10001"</f>
        <v>10001</v>
      </c>
      <c r="G38" t="str">
        <f>"Statutární město Karviná"</f>
        <v>Statutární město Karviná</v>
      </c>
      <c r="H38" t="str">
        <f>"297534"</f>
        <v>297534</v>
      </c>
      <c r="I38" t="str">
        <f>"jiná právnická osoba (vč. obce a kraje)"</f>
        <v>jiná právnická osoba (vč. obce a kraje)</v>
      </c>
      <c r="J38" t="str">
        <f>"OPO"</f>
        <v>OPO</v>
      </c>
      <c r="K38" t="str">
        <f>"1"</f>
        <v>1</v>
      </c>
      <c r="L38" t="str">
        <f>"Vlastnické právo"</f>
        <v>Vlastnické právo</v>
      </c>
    </row>
    <row r="39" spans="1:12" x14ac:dyDescent="0.25">
      <c r="A39" t="str">
        <f>"Darkov"</f>
        <v>Darkov</v>
      </c>
      <c r="B39" t="str">
        <f>"508/1"</f>
        <v>508/1</v>
      </c>
      <c r="C39" t="str">
        <f>"1771"</f>
        <v>1771</v>
      </c>
      <c r="D39" t="str">
        <f>"lesní pozemek"</f>
        <v>lesní pozemek</v>
      </c>
      <c r="E39" t="str">
        <f>"les jiný než hospodářský"</f>
        <v>les jiný než hospodářský</v>
      </c>
      <c r="F39" t="str">
        <f>"10001"</f>
        <v>10001</v>
      </c>
      <c r="G39" t="str">
        <f>"Statutární město Karviná"</f>
        <v>Statutární město Karviná</v>
      </c>
      <c r="H39" t="str">
        <f>"297534"</f>
        <v>297534</v>
      </c>
      <c r="I39" t="str">
        <f>"jiná právnická osoba (vč. obce a kraje)"</f>
        <v>jiná právnická osoba (vč. obce a kraje)</v>
      </c>
      <c r="J39" t="str">
        <f>"OPO"</f>
        <v>OPO</v>
      </c>
      <c r="K39" t="str">
        <f>"1"</f>
        <v>1</v>
      </c>
      <c r="L39" t="str">
        <f>"Vlastnické právo"</f>
        <v>Vlastnické právo</v>
      </c>
    </row>
    <row r="40" spans="1:12" x14ac:dyDescent="0.25">
      <c r="A40" t="str">
        <f>"Darkov"</f>
        <v>Darkov</v>
      </c>
      <c r="B40" t="str">
        <f>"509"</f>
        <v>509</v>
      </c>
      <c r="C40" t="str">
        <f>"275"</f>
        <v>275</v>
      </c>
      <c r="D40" t="str">
        <f>"lesní pozemek"</f>
        <v>lesní pozemek</v>
      </c>
      <c r="E40" t="str">
        <f>"les jiný než hospodářský"</f>
        <v>les jiný než hospodářský</v>
      </c>
      <c r="F40" t="str">
        <f>"10001"</f>
        <v>10001</v>
      </c>
      <c r="G40" t="str">
        <f>"Statutární město Karviná"</f>
        <v>Statutární město Karviná</v>
      </c>
      <c r="H40" t="str">
        <f>"297534"</f>
        <v>297534</v>
      </c>
      <c r="I40" t="str">
        <f>"jiná právnická osoba (vč. obce a kraje)"</f>
        <v>jiná právnická osoba (vč. obce a kraje)</v>
      </c>
      <c r="J40" t="str">
        <f>"OPO"</f>
        <v>OPO</v>
      </c>
      <c r="K40" t="str">
        <f>"1"</f>
        <v>1</v>
      </c>
      <c r="L40" t="str">
        <f>"Vlastnické právo"</f>
        <v>Vlastnické právo</v>
      </c>
    </row>
    <row r="41" spans="1:12" x14ac:dyDescent="0.25">
      <c r="A41" t="str">
        <f>"Darkov"</f>
        <v>Darkov</v>
      </c>
      <c r="B41" t="str">
        <f>"510"</f>
        <v>510</v>
      </c>
      <c r="C41" t="str">
        <f>"319"</f>
        <v>319</v>
      </c>
      <c r="D41" t="str">
        <f>"lesní pozemek"</f>
        <v>lesní pozemek</v>
      </c>
      <c r="E41" t="str">
        <f>"les jiný než hospodářský"</f>
        <v>les jiný než hospodářský</v>
      </c>
      <c r="F41" t="str">
        <f>"10001"</f>
        <v>10001</v>
      </c>
      <c r="G41" t="str">
        <f>"Statutární město Karviná"</f>
        <v>Statutární město Karviná</v>
      </c>
      <c r="H41" t="str">
        <f>"297534"</f>
        <v>297534</v>
      </c>
      <c r="I41" t="str">
        <f>"jiná právnická osoba (vč. obce a kraje)"</f>
        <v>jiná právnická osoba (vč. obce a kraje)</v>
      </c>
      <c r="J41" t="str">
        <f>"OPO"</f>
        <v>OPO</v>
      </c>
      <c r="K41" t="str">
        <f>"1"</f>
        <v>1</v>
      </c>
      <c r="L41" t="str">
        <f>"Vlastnické právo"</f>
        <v>Vlastnické právo</v>
      </c>
    </row>
    <row r="42" spans="1:12" x14ac:dyDescent="0.25">
      <c r="A42" t="str">
        <f>"Darkov"</f>
        <v>Darkov</v>
      </c>
      <c r="B42" t="str">
        <f>"511/1"</f>
        <v>511/1</v>
      </c>
      <c r="C42" t="str">
        <f>"322"</f>
        <v>322</v>
      </c>
      <c r="D42" t="str">
        <f>"lesní pozemek"</f>
        <v>lesní pozemek</v>
      </c>
      <c r="E42" t="str">
        <f>"les jiný než hospodářský"</f>
        <v>les jiný než hospodářský</v>
      </c>
      <c r="F42" t="str">
        <f>"10001"</f>
        <v>10001</v>
      </c>
      <c r="G42" t="str">
        <f>"Statutární město Karviná"</f>
        <v>Statutární město Karviná</v>
      </c>
      <c r="H42" t="str">
        <f>"297534"</f>
        <v>297534</v>
      </c>
      <c r="I42" t="str">
        <f>"jiná právnická osoba (vč. obce a kraje)"</f>
        <v>jiná právnická osoba (vč. obce a kraje)</v>
      </c>
      <c r="J42" t="str">
        <f>"OPO"</f>
        <v>OPO</v>
      </c>
      <c r="K42" t="str">
        <f>"1"</f>
        <v>1</v>
      </c>
      <c r="L42" t="str">
        <f>"Vlastnické právo"</f>
        <v>Vlastnické právo</v>
      </c>
    </row>
    <row r="43" spans="1:12" x14ac:dyDescent="0.25">
      <c r="A43" t="str">
        <f>"Darkov"</f>
        <v>Darkov</v>
      </c>
      <c r="B43" t="str">
        <f>"511/2"</f>
        <v>511/2</v>
      </c>
      <c r="C43" t="str">
        <f>"107"</f>
        <v>107</v>
      </c>
      <c r="D43" t="str">
        <f>"lesní pozemek"</f>
        <v>lesní pozemek</v>
      </c>
      <c r="E43" t="str">
        <f>"les jiný než hospodářský"</f>
        <v>les jiný než hospodářský</v>
      </c>
      <c r="F43" t="str">
        <f>"10001"</f>
        <v>10001</v>
      </c>
      <c r="G43" t="str">
        <f>"Statutární město Karviná"</f>
        <v>Statutární město Karviná</v>
      </c>
      <c r="H43" t="str">
        <f>"297534"</f>
        <v>297534</v>
      </c>
      <c r="I43" t="str">
        <f>"jiná právnická osoba (vč. obce a kraje)"</f>
        <v>jiná právnická osoba (vč. obce a kraje)</v>
      </c>
      <c r="J43" t="str">
        <f>"OPO"</f>
        <v>OPO</v>
      </c>
      <c r="K43" t="str">
        <f>"1"</f>
        <v>1</v>
      </c>
      <c r="L43" t="str">
        <f>"Vlastnické právo"</f>
        <v>Vlastnické právo</v>
      </c>
    </row>
    <row r="44" spans="1:12" x14ac:dyDescent="0.25">
      <c r="A44" t="str">
        <f>"Darkov"</f>
        <v>Darkov</v>
      </c>
      <c r="B44" t="str">
        <f>"511/3"</f>
        <v>511/3</v>
      </c>
      <c r="C44" t="str">
        <f>"635"</f>
        <v>635</v>
      </c>
      <c r="D44" t="str">
        <f>"lesní pozemek"</f>
        <v>lesní pozemek</v>
      </c>
      <c r="E44" t="str">
        <f>"les jiný než hospodářský"</f>
        <v>les jiný než hospodářský</v>
      </c>
      <c r="F44" t="str">
        <f>"10001"</f>
        <v>10001</v>
      </c>
      <c r="G44" t="str">
        <f>"Statutární město Karviná"</f>
        <v>Statutární město Karviná</v>
      </c>
      <c r="H44" t="str">
        <f>"297534"</f>
        <v>297534</v>
      </c>
      <c r="I44" t="str">
        <f>"jiná právnická osoba (vč. obce a kraje)"</f>
        <v>jiná právnická osoba (vč. obce a kraje)</v>
      </c>
      <c r="J44" t="str">
        <f>"OPO"</f>
        <v>OPO</v>
      </c>
      <c r="K44" t="str">
        <f>"1"</f>
        <v>1</v>
      </c>
      <c r="L44" t="str">
        <f>"Vlastnické právo"</f>
        <v>Vlastnické právo</v>
      </c>
    </row>
    <row r="45" spans="1:12" x14ac:dyDescent="0.25">
      <c r="A45" t="str">
        <f>"Darkov"</f>
        <v>Darkov</v>
      </c>
      <c r="B45" t="str">
        <f>"512"</f>
        <v>512</v>
      </c>
      <c r="C45" t="str">
        <f>"809"</f>
        <v>809</v>
      </c>
      <c r="D45" t="str">
        <f>"lesní pozemek"</f>
        <v>lesní pozemek</v>
      </c>
      <c r="E45" t="str">
        <f>"les jiný než hospodářský"</f>
        <v>les jiný než hospodářský</v>
      </c>
      <c r="F45" t="str">
        <f>"10001"</f>
        <v>10001</v>
      </c>
      <c r="G45" t="str">
        <f>"Statutární město Karviná"</f>
        <v>Statutární město Karviná</v>
      </c>
      <c r="H45" t="str">
        <f>"297534"</f>
        <v>297534</v>
      </c>
      <c r="I45" t="str">
        <f>"jiná právnická osoba (vč. obce a kraje)"</f>
        <v>jiná právnická osoba (vč. obce a kraje)</v>
      </c>
      <c r="J45" t="str">
        <f>"OPO"</f>
        <v>OPO</v>
      </c>
      <c r="K45" t="str">
        <f>"1"</f>
        <v>1</v>
      </c>
      <c r="L45" t="str">
        <f>"Vlastnické právo"</f>
        <v>Vlastnické právo</v>
      </c>
    </row>
    <row r="46" spans="1:12" x14ac:dyDescent="0.25">
      <c r="A46" t="str">
        <f>"Darkov"</f>
        <v>Darkov</v>
      </c>
      <c r="B46" t="str">
        <f>"513"</f>
        <v>513</v>
      </c>
      <c r="C46" t="str">
        <f>"84"</f>
        <v>84</v>
      </c>
      <c r="D46" t="str">
        <f>"lesní pozemek"</f>
        <v>lesní pozemek</v>
      </c>
      <c r="E46" t="str">
        <f>"les jiný než hospodářský"</f>
        <v>les jiný než hospodářský</v>
      </c>
      <c r="F46" t="str">
        <f>"10001"</f>
        <v>10001</v>
      </c>
      <c r="G46" t="str">
        <f>"Statutární město Karviná"</f>
        <v>Statutární město Karviná</v>
      </c>
      <c r="H46" t="str">
        <f>"297534"</f>
        <v>297534</v>
      </c>
      <c r="I46" t="str">
        <f>"jiná právnická osoba (vč. obce a kraje)"</f>
        <v>jiná právnická osoba (vč. obce a kraje)</v>
      </c>
      <c r="J46" t="str">
        <f>"OPO"</f>
        <v>OPO</v>
      </c>
      <c r="K46" t="str">
        <f>"1"</f>
        <v>1</v>
      </c>
      <c r="L46" t="str">
        <f>"Vlastnické právo"</f>
        <v>Vlastnické právo</v>
      </c>
    </row>
    <row r="47" spans="1:12" x14ac:dyDescent="0.25">
      <c r="A47" t="str">
        <f>"Darkov"</f>
        <v>Darkov</v>
      </c>
      <c r="B47" t="str">
        <f>"514"</f>
        <v>514</v>
      </c>
      <c r="C47" t="str">
        <f>"339"</f>
        <v>339</v>
      </c>
      <c r="D47" t="str">
        <f>"lesní pozemek"</f>
        <v>lesní pozemek</v>
      </c>
      <c r="E47" t="str">
        <f>"les jiný než hospodářský"</f>
        <v>les jiný než hospodářský</v>
      </c>
      <c r="F47" t="str">
        <f>"10001"</f>
        <v>10001</v>
      </c>
      <c r="G47" t="str">
        <f>"Statutární město Karviná"</f>
        <v>Statutární město Karviná</v>
      </c>
      <c r="H47" t="str">
        <f>"297534"</f>
        <v>297534</v>
      </c>
      <c r="I47" t="str">
        <f>"jiná právnická osoba (vč. obce a kraje)"</f>
        <v>jiná právnická osoba (vč. obce a kraje)</v>
      </c>
      <c r="J47" t="str">
        <f>"OPO"</f>
        <v>OPO</v>
      </c>
      <c r="K47" t="str">
        <f>"1"</f>
        <v>1</v>
      </c>
      <c r="L47" t="str">
        <f>"Vlastnické právo"</f>
        <v>Vlastnické právo</v>
      </c>
    </row>
    <row r="48" spans="1:12" x14ac:dyDescent="0.25">
      <c r="A48" t="str">
        <f>"Darkov"</f>
        <v>Darkov</v>
      </c>
      <c r="B48" t="str">
        <f>"515"</f>
        <v>515</v>
      </c>
      <c r="C48" t="str">
        <f>"415"</f>
        <v>415</v>
      </c>
      <c r="D48" t="str">
        <f>"lesní pozemek"</f>
        <v>lesní pozemek</v>
      </c>
      <c r="E48" t="str">
        <f>"les jiný než hospodářský"</f>
        <v>les jiný než hospodářský</v>
      </c>
      <c r="F48" t="str">
        <f>"10001"</f>
        <v>10001</v>
      </c>
      <c r="G48" t="str">
        <f>"Statutární město Karviná"</f>
        <v>Statutární město Karviná</v>
      </c>
      <c r="H48" t="str">
        <f>"297534"</f>
        <v>297534</v>
      </c>
      <c r="I48" t="str">
        <f>"jiná právnická osoba (vč. obce a kraje)"</f>
        <v>jiná právnická osoba (vč. obce a kraje)</v>
      </c>
      <c r="J48" t="str">
        <f>"OPO"</f>
        <v>OPO</v>
      </c>
      <c r="K48" t="str">
        <f>"1"</f>
        <v>1</v>
      </c>
      <c r="L48" t="str">
        <f>"Vlastnické právo"</f>
        <v>Vlastnické právo</v>
      </c>
    </row>
    <row r="49" spans="1:12" x14ac:dyDescent="0.25">
      <c r="A49" t="str">
        <f>"Darkov"</f>
        <v>Darkov</v>
      </c>
      <c r="B49" t="str">
        <f>"516/1"</f>
        <v>516/1</v>
      </c>
      <c r="C49" t="str">
        <f>"676"</f>
        <v>676</v>
      </c>
      <c r="D49" t="str">
        <f>"lesní pozemek"</f>
        <v>lesní pozemek</v>
      </c>
      <c r="E49" t="str">
        <f>"les jiný než hospodářský"</f>
        <v>les jiný než hospodářský</v>
      </c>
      <c r="F49" t="str">
        <f>"10001"</f>
        <v>10001</v>
      </c>
      <c r="G49" t="str">
        <f>"Statutární město Karviná"</f>
        <v>Statutární město Karviná</v>
      </c>
      <c r="H49" t="str">
        <f>"297534"</f>
        <v>297534</v>
      </c>
      <c r="I49" t="str">
        <f>"jiná právnická osoba (vč. obce a kraje)"</f>
        <v>jiná právnická osoba (vč. obce a kraje)</v>
      </c>
      <c r="J49" t="str">
        <f>"OPO"</f>
        <v>OPO</v>
      </c>
      <c r="K49" t="str">
        <f>"1"</f>
        <v>1</v>
      </c>
      <c r="L49" t="str">
        <f>"Vlastnické právo"</f>
        <v>Vlastnické právo</v>
      </c>
    </row>
    <row r="50" spans="1:12" x14ac:dyDescent="0.25">
      <c r="A50" t="str">
        <f>"Darkov"</f>
        <v>Darkov</v>
      </c>
      <c r="B50" t="str">
        <f>"561/1"</f>
        <v>561/1</v>
      </c>
      <c r="C50" t="str">
        <f>"7753"</f>
        <v>7753</v>
      </c>
      <c r="D50" t="str">
        <f>"lesní pozemek"</f>
        <v>lesní pozemek</v>
      </c>
      <c r="E50" t="str">
        <f>"les jiný než hospodářský"</f>
        <v>les jiný než hospodářský</v>
      </c>
      <c r="F50" t="str">
        <f>"10001"</f>
        <v>10001</v>
      </c>
      <c r="G50" t="str">
        <f>"Statutární město Karviná"</f>
        <v>Statutární město Karviná</v>
      </c>
      <c r="H50" t="str">
        <f>"297534"</f>
        <v>297534</v>
      </c>
      <c r="I50" t="str">
        <f>"jiná právnická osoba (vč. obce a kraje)"</f>
        <v>jiná právnická osoba (vč. obce a kraje)</v>
      </c>
      <c r="J50" t="str">
        <f>"OPO"</f>
        <v>OPO</v>
      </c>
      <c r="K50" t="str">
        <f>"1"</f>
        <v>1</v>
      </c>
      <c r="L50" t="str">
        <f>"Vlastnické právo"</f>
        <v>Vlastnické právo</v>
      </c>
    </row>
    <row r="51" spans="1:12" x14ac:dyDescent="0.25">
      <c r="A51" t="str">
        <f>"Darkov"</f>
        <v>Darkov</v>
      </c>
      <c r="B51" t="str">
        <f>"561/5"</f>
        <v>561/5</v>
      </c>
      <c r="C51" t="str">
        <f>"1074"</f>
        <v>1074</v>
      </c>
      <c r="D51" t="str">
        <f>"lesní pozemek"</f>
        <v>lesní pozemek</v>
      </c>
      <c r="E51" t="str">
        <f>"les jiný než hospodářský"</f>
        <v>les jiný než hospodářský</v>
      </c>
      <c r="F51" t="str">
        <f>"10001"</f>
        <v>10001</v>
      </c>
      <c r="G51" t="str">
        <f>"Statutární město Karviná"</f>
        <v>Statutární město Karviná</v>
      </c>
      <c r="H51" t="str">
        <f>"297534"</f>
        <v>297534</v>
      </c>
      <c r="I51" t="str">
        <f>"jiná právnická osoba (vč. obce a kraje)"</f>
        <v>jiná právnická osoba (vč. obce a kraje)</v>
      </c>
      <c r="J51" t="str">
        <f>"OPO"</f>
        <v>OPO</v>
      </c>
      <c r="K51" t="str">
        <f>"1"</f>
        <v>1</v>
      </c>
      <c r="L51" t="str">
        <f>"Vlastnické právo"</f>
        <v>Vlastnické právo</v>
      </c>
    </row>
    <row r="52" spans="1:12" x14ac:dyDescent="0.25">
      <c r="A52" t="str">
        <f>"Darkov"</f>
        <v>Darkov</v>
      </c>
      <c r="B52" t="str">
        <f>"561/6"</f>
        <v>561/6</v>
      </c>
      <c r="C52" t="str">
        <f>"3368"</f>
        <v>3368</v>
      </c>
      <c r="D52" t="str">
        <f>"lesní pozemek"</f>
        <v>lesní pozemek</v>
      </c>
      <c r="E52" t="str">
        <f>"les jiný než hospodářský"</f>
        <v>les jiný než hospodářský</v>
      </c>
      <c r="F52" t="str">
        <f>"10001"</f>
        <v>10001</v>
      </c>
      <c r="G52" t="str">
        <f>"Statutární město Karviná"</f>
        <v>Statutární město Karviná</v>
      </c>
      <c r="H52" t="str">
        <f>"297534"</f>
        <v>297534</v>
      </c>
      <c r="I52" t="str">
        <f>"jiná právnická osoba (vč. obce a kraje)"</f>
        <v>jiná právnická osoba (vč. obce a kraje)</v>
      </c>
      <c r="J52" t="str">
        <f>"OPO"</f>
        <v>OPO</v>
      </c>
      <c r="K52" t="str">
        <f>"1"</f>
        <v>1</v>
      </c>
      <c r="L52" t="str">
        <f>"Vlastnické právo"</f>
        <v>Vlastnické právo</v>
      </c>
    </row>
    <row r="53" spans="1:12" x14ac:dyDescent="0.25">
      <c r="A53" t="str">
        <f>"Darkov"</f>
        <v>Darkov</v>
      </c>
      <c r="B53" t="str">
        <f>"564/1"</f>
        <v>564/1</v>
      </c>
      <c r="C53" t="str">
        <f>"586"</f>
        <v>586</v>
      </c>
      <c r="D53" t="str">
        <f>"lesní pozemek"</f>
        <v>lesní pozemek</v>
      </c>
      <c r="E53" t="str">
        <f>"les jiný než hospodářský"</f>
        <v>les jiný než hospodářský</v>
      </c>
      <c r="F53" t="str">
        <f>"10001"</f>
        <v>10001</v>
      </c>
      <c r="G53" t="str">
        <f>"Statutární město Karviná"</f>
        <v>Statutární město Karviná</v>
      </c>
      <c r="H53" t="str">
        <f>"297534"</f>
        <v>297534</v>
      </c>
      <c r="I53" t="str">
        <f>"jiná právnická osoba (vč. obce a kraje)"</f>
        <v>jiná právnická osoba (vč. obce a kraje)</v>
      </c>
      <c r="J53" t="str">
        <f>"OPO"</f>
        <v>OPO</v>
      </c>
      <c r="K53" t="str">
        <f>"1"</f>
        <v>1</v>
      </c>
      <c r="L53" t="str">
        <f>"Vlastnické právo"</f>
        <v>Vlastnické právo</v>
      </c>
    </row>
    <row r="54" spans="1:12" x14ac:dyDescent="0.25">
      <c r="A54" t="str">
        <f>"Darkov"</f>
        <v>Darkov</v>
      </c>
      <c r="B54" t="str">
        <f>"565"</f>
        <v>565</v>
      </c>
      <c r="C54" t="str">
        <f>"1999"</f>
        <v>1999</v>
      </c>
      <c r="D54" t="str">
        <f>"lesní pozemek"</f>
        <v>lesní pozemek</v>
      </c>
      <c r="E54" t="str">
        <f>"les jiný než hospodářský"</f>
        <v>les jiný než hospodářský</v>
      </c>
      <c r="F54" t="str">
        <f>"10001"</f>
        <v>10001</v>
      </c>
      <c r="G54" t="str">
        <f>"Statutární město Karviná"</f>
        <v>Statutární město Karviná</v>
      </c>
      <c r="H54" t="str">
        <f>"297534"</f>
        <v>297534</v>
      </c>
      <c r="I54" t="str">
        <f>"jiná právnická osoba (vč. obce a kraje)"</f>
        <v>jiná právnická osoba (vč. obce a kraje)</v>
      </c>
      <c r="J54" t="str">
        <f>"OPO"</f>
        <v>OPO</v>
      </c>
      <c r="K54" t="str">
        <f>"1"</f>
        <v>1</v>
      </c>
      <c r="L54" t="str">
        <f>"Vlastnické právo"</f>
        <v>Vlastnické právo</v>
      </c>
    </row>
    <row r="55" spans="1:12" x14ac:dyDescent="0.25">
      <c r="A55" t="str">
        <f>"Darkov"</f>
        <v>Darkov</v>
      </c>
      <c r="B55" t="str">
        <f>"566"</f>
        <v>566</v>
      </c>
      <c r="C55" t="str">
        <f>"1651"</f>
        <v>1651</v>
      </c>
      <c r="D55" t="str">
        <f>"lesní pozemek"</f>
        <v>lesní pozemek</v>
      </c>
      <c r="E55" t="str">
        <f>"les jiný než hospodářský"</f>
        <v>les jiný než hospodářský</v>
      </c>
      <c r="F55" t="str">
        <f>"10001"</f>
        <v>10001</v>
      </c>
      <c r="G55" t="str">
        <f>"Statutární město Karviná"</f>
        <v>Statutární město Karviná</v>
      </c>
      <c r="H55" t="str">
        <f>"297534"</f>
        <v>297534</v>
      </c>
      <c r="I55" t="str">
        <f>"jiná právnická osoba (vč. obce a kraje)"</f>
        <v>jiná právnická osoba (vč. obce a kraje)</v>
      </c>
      <c r="J55" t="str">
        <f>"OPO"</f>
        <v>OPO</v>
      </c>
      <c r="K55" t="str">
        <f>"1"</f>
        <v>1</v>
      </c>
      <c r="L55" t="str">
        <f>"Vlastnické právo"</f>
        <v>Vlastnické právo</v>
      </c>
    </row>
    <row r="56" spans="1:12" x14ac:dyDescent="0.25">
      <c r="A56" t="str">
        <f>"Darkov"</f>
        <v>Darkov</v>
      </c>
      <c r="B56" t="str">
        <f>"567"</f>
        <v>567</v>
      </c>
      <c r="C56" t="str">
        <f>"88"</f>
        <v>88</v>
      </c>
      <c r="D56" t="str">
        <f>"lesní pozemek"</f>
        <v>lesní pozemek</v>
      </c>
      <c r="E56" t="str">
        <f>"les jiný než hospodářský"</f>
        <v>les jiný než hospodářský</v>
      </c>
      <c r="F56" t="str">
        <f>"10001"</f>
        <v>10001</v>
      </c>
      <c r="G56" t="str">
        <f>"Statutární město Karviná"</f>
        <v>Statutární město Karviná</v>
      </c>
      <c r="H56" t="str">
        <f>"297534"</f>
        <v>297534</v>
      </c>
      <c r="I56" t="str">
        <f>"jiná právnická osoba (vč. obce a kraje)"</f>
        <v>jiná právnická osoba (vč. obce a kraje)</v>
      </c>
      <c r="J56" t="str">
        <f>"OPO"</f>
        <v>OPO</v>
      </c>
      <c r="K56" t="str">
        <f>"1"</f>
        <v>1</v>
      </c>
      <c r="L56" t="str">
        <f>"Vlastnické právo"</f>
        <v>Vlastnické právo</v>
      </c>
    </row>
    <row r="57" spans="1:12" x14ac:dyDescent="0.25">
      <c r="A57" t="str">
        <f>"Darkov"</f>
        <v>Darkov</v>
      </c>
      <c r="B57" t="str">
        <f>"568/1"</f>
        <v>568/1</v>
      </c>
      <c r="C57" t="str">
        <f>"1808"</f>
        <v>1808</v>
      </c>
      <c r="D57" t="str">
        <f>"lesní pozemek"</f>
        <v>lesní pozemek</v>
      </c>
      <c r="E57" t="str">
        <f>"les jiný než hospodářský"</f>
        <v>les jiný než hospodářský</v>
      </c>
      <c r="F57" t="str">
        <f>"10001"</f>
        <v>10001</v>
      </c>
      <c r="G57" t="str">
        <f>"Statutární město Karviná"</f>
        <v>Statutární město Karviná</v>
      </c>
      <c r="H57" t="str">
        <f>"297534"</f>
        <v>297534</v>
      </c>
      <c r="I57" t="str">
        <f>"jiná právnická osoba (vč. obce a kraje)"</f>
        <v>jiná právnická osoba (vč. obce a kraje)</v>
      </c>
      <c r="J57" t="str">
        <f>"OPO"</f>
        <v>OPO</v>
      </c>
      <c r="K57" t="str">
        <f>"1"</f>
        <v>1</v>
      </c>
      <c r="L57" t="str">
        <f>"Vlastnické právo"</f>
        <v>Vlastnické právo</v>
      </c>
    </row>
    <row r="58" spans="1:12" x14ac:dyDescent="0.25">
      <c r="A58" t="str">
        <f>"Darkov"</f>
        <v>Darkov</v>
      </c>
      <c r="B58" t="str">
        <f>"568/2"</f>
        <v>568/2</v>
      </c>
      <c r="C58" t="str">
        <f>"74"</f>
        <v>74</v>
      </c>
      <c r="D58" t="str">
        <f>"lesní pozemek"</f>
        <v>lesní pozemek</v>
      </c>
      <c r="E58" t="str">
        <f>"les jiný než hospodářský"</f>
        <v>les jiný než hospodářský</v>
      </c>
      <c r="F58" t="str">
        <f>"10001"</f>
        <v>10001</v>
      </c>
      <c r="G58" t="str">
        <f>"Statutární město Karviná"</f>
        <v>Statutární město Karviná</v>
      </c>
      <c r="H58" t="str">
        <f>"297534"</f>
        <v>297534</v>
      </c>
      <c r="I58" t="str">
        <f>"jiná právnická osoba (vč. obce a kraje)"</f>
        <v>jiná právnická osoba (vč. obce a kraje)</v>
      </c>
      <c r="J58" t="str">
        <f>"OPO"</f>
        <v>OPO</v>
      </c>
      <c r="K58" t="str">
        <f>"1"</f>
        <v>1</v>
      </c>
      <c r="L58" t="str">
        <f>"Vlastnické právo"</f>
        <v>Vlastnické právo</v>
      </c>
    </row>
    <row r="59" spans="1:12" x14ac:dyDescent="0.25">
      <c r="A59" t="str">
        <f>"Darkov"</f>
        <v>Darkov</v>
      </c>
      <c r="B59" t="str">
        <f>"569"</f>
        <v>569</v>
      </c>
      <c r="C59" t="str">
        <f>"595"</f>
        <v>595</v>
      </c>
      <c r="D59" t="str">
        <f>"lesní pozemek"</f>
        <v>lesní pozemek</v>
      </c>
      <c r="E59" t="str">
        <f>"les jiný než hospodářský"</f>
        <v>les jiný než hospodářský</v>
      </c>
      <c r="F59" t="str">
        <f>"10001"</f>
        <v>10001</v>
      </c>
      <c r="G59" t="str">
        <f>"Statutární město Karviná"</f>
        <v>Statutární město Karviná</v>
      </c>
      <c r="H59" t="str">
        <f>"297534"</f>
        <v>297534</v>
      </c>
      <c r="I59" t="str">
        <f>"jiná právnická osoba (vč. obce a kraje)"</f>
        <v>jiná právnická osoba (vč. obce a kraje)</v>
      </c>
      <c r="J59" t="str">
        <f>"OPO"</f>
        <v>OPO</v>
      </c>
      <c r="K59" t="str">
        <f>"1"</f>
        <v>1</v>
      </c>
      <c r="L59" t="str">
        <f>"Vlastnické právo"</f>
        <v>Vlastnické právo</v>
      </c>
    </row>
    <row r="60" spans="1:12" x14ac:dyDescent="0.25">
      <c r="A60" t="str">
        <f>"Darkov"</f>
        <v>Darkov</v>
      </c>
      <c r="B60" t="str">
        <f>"570"</f>
        <v>570</v>
      </c>
      <c r="C60" t="str">
        <f>"506"</f>
        <v>506</v>
      </c>
      <c r="D60" t="str">
        <f>"lesní pozemek"</f>
        <v>lesní pozemek</v>
      </c>
      <c r="E60" t="str">
        <f>"les jiný než hospodářský"</f>
        <v>les jiný než hospodářský</v>
      </c>
      <c r="F60" t="str">
        <f>"10001"</f>
        <v>10001</v>
      </c>
      <c r="G60" t="str">
        <f>"Statutární město Karviná"</f>
        <v>Statutární město Karviná</v>
      </c>
      <c r="H60" t="str">
        <f>"297534"</f>
        <v>297534</v>
      </c>
      <c r="I60" t="str">
        <f>"jiná právnická osoba (vč. obce a kraje)"</f>
        <v>jiná právnická osoba (vč. obce a kraje)</v>
      </c>
      <c r="J60" t="str">
        <f>"OPO"</f>
        <v>OPO</v>
      </c>
      <c r="K60" t="str">
        <f>"1"</f>
        <v>1</v>
      </c>
      <c r="L60" t="str">
        <f>"Vlastnické právo"</f>
        <v>Vlastnické právo</v>
      </c>
    </row>
    <row r="61" spans="1:12" x14ac:dyDescent="0.25">
      <c r="A61" t="str">
        <f>"Darkov"</f>
        <v>Darkov</v>
      </c>
      <c r="B61" t="str">
        <f>"571/1"</f>
        <v>571/1</v>
      </c>
      <c r="C61" t="str">
        <f>"3828"</f>
        <v>3828</v>
      </c>
      <c r="D61" t="str">
        <f>"lesní pozemek"</f>
        <v>lesní pozemek</v>
      </c>
      <c r="E61" t="str">
        <f>"les jiný než hospodářský"</f>
        <v>les jiný než hospodářský</v>
      </c>
      <c r="F61" t="str">
        <f>"10001"</f>
        <v>10001</v>
      </c>
      <c r="G61" t="str">
        <f>"Statutární město Karviná"</f>
        <v>Statutární město Karviná</v>
      </c>
      <c r="H61" t="str">
        <f>"297534"</f>
        <v>297534</v>
      </c>
      <c r="I61" t="str">
        <f>"jiná právnická osoba (vč. obce a kraje)"</f>
        <v>jiná právnická osoba (vč. obce a kraje)</v>
      </c>
      <c r="J61" t="str">
        <f>"OPO"</f>
        <v>OPO</v>
      </c>
      <c r="K61" t="str">
        <f>"1"</f>
        <v>1</v>
      </c>
      <c r="L61" t="str">
        <f>"Vlastnické právo"</f>
        <v>Vlastnické právo</v>
      </c>
    </row>
    <row r="62" spans="1:12" x14ac:dyDescent="0.25">
      <c r="A62" t="str">
        <f>"Darkov"</f>
        <v>Darkov</v>
      </c>
      <c r="B62" t="str">
        <f>"571/2"</f>
        <v>571/2</v>
      </c>
      <c r="C62" t="str">
        <f>"2122"</f>
        <v>2122</v>
      </c>
      <c r="D62" t="str">
        <f>"lesní pozemek"</f>
        <v>lesní pozemek</v>
      </c>
      <c r="E62" t="str">
        <f>"les jiný než hospodářský"</f>
        <v>les jiný než hospodářský</v>
      </c>
      <c r="F62" t="str">
        <f>"10001"</f>
        <v>10001</v>
      </c>
      <c r="G62" t="str">
        <f>"Statutární město Karviná"</f>
        <v>Statutární město Karviná</v>
      </c>
      <c r="H62" t="str">
        <f>"297534"</f>
        <v>297534</v>
      </c>
      <c r="I62" t="str">
        <f>"jiná právnická osoba (vč. obce a kraje)"</f>
        <v>jiná právnická osoba (vč. obce a kraje)</v>
      </c>
      <c r="J62" t="str">
        <f>"OPO"</f>
        <v>OPO</v>
      </c>
      <c r="K62" t="str">
        <f>"1"</f>
        <v>1</v>
      </c>
      <c r="L62" t="str">
        <f>"Vlastnické právo"</f>
        <v>Vlastnické právo</v>
      </c>
    </row>
    <row r="63" spans="1:12" x14ac:dyDescent="0.25">
      <c r="A63" t="str">
        <f>"Darkov"</f>
        <v>Darkov</v>
      </c>
      <c r="B63" t="str">
        <f>"572"</f>
        <v>572</v>
      </c>
      <c r="C63" t="str">
        <f>"2946"</f>
        <v>2946</v>
      </c>
      <c r="D63" t="str">
        <f>"lesní pozemek"</f>
        <v>lesní pozemek</v>
      </c>
      <c r="E63" t="str">
        <f>"les jiný než hospodářský"</f>
        <v>les jiný než hospodářský</v>
      </c>
      <c r="F63" t="str">
        <f>"10001"</f>
        <v>10001</v>
      </c>
      <c r="G63" t="str">
        <f>"Statutární město Karviná"</f>
        <v>Statutární město Karviná</v>
      </c>
      <c r="H63" t="str">
        <f>"297534"</f>
        <v>297534</v>
      </c>
      <c r="I63" t="str">
        <f>"jiná právnická osoba (vč. obce a kraje)"</f>
        <v>jiná právnická osoba (vč. obce a kraje)</v>
      </c>
      <c r="J63" t="str">
        <f>"OPO"</f>
        <v>OPO</v>
      </c>
      <c r="K63" t="str">
        <f>"1"</f>
        <v>1</v>
      </c>
      <c r="L63" t="str">
        <f>"Vlastnické právo"</f>
        <v>Vlastnické právo</v>
      </c>
    </row>
    <row r="64" spans="1:12" x14ac:dyDescent="0.25">
      <c r="A64" t="str">
        <f>"Darkov"</f>
        <v>Darkov</v>
      </c>
      <c r="B64" t="str">
        <f>"573/1"</f>
        <v>573/1</v>
      </c>
      <c r="C64" t="str">
        <f>"508"</f>
        <v>508</v>
      </c>
      <c r="D64" t="str">
        <f>"lesní pozemek"</f>
        <v>lesní pozemek</v>
      </c>
      <c r="E64" t="str">
        <f>"les jiný než hospodářský"</f>
        <v>les jiný než hospodářský</v>
      </c>
      <c r="F64" t="str">
        <f>"10001"</f>
        <v>10001</v>
      </c>
      <c r="G64" t="str">
        <f>"Statutární město Karviná"</f>
        <v>Statutární město Karviná</v>
      </c>
      <c r="H64" t="str">
        <f>"297534"</f>
        <v>297534</v>
      </c>
      <c r="I64" t="str">
        <f>"jiná právnická osoba (vč. obce a kraje)"</f>
        <v>jiná právnická osoba (vč. obce a kraje)</v>
      </c>
      <c r="J64" t="str">
        <f>"OPO"</f>
        <v>OPO</v>
      </c>
      <c r="K64" t="str">
        <f>"1"</f>
        <v>1</v>
      </c>
      <c r="L64" t="str">
        <f>"Vlastnické právo"</f>
        <v>Vlastnické právo</v>
      </c>
    </row>
    <row r="65" spans="1:12" x14ac:dyDescent="0.25">
      <c r="A65" t="str">
        <f>"Darkov"</f>
        <v>Darkov</v>
      </c>
      <c r="B65" t="str">
        <f>"573/2"</f>
        <v>573/2</v>
      </c>
      <c r="C65" t="str">
        <f>"447"</f>
        <v>447</v>
      </c>
      <c r="D65" t="str">
        <f>"lesní pozemek"</f>
        <v>lesní pozemek</v>
      </c>
      <c r="E65" t="str">
        <f>"les jiný než hospodářský"</f>
        <v>les jiný než hospodářský</v>
      </c>
      <c r="F65" t="str">
        <f>"10001"</f>
        <v>10001</v>
      </c>
      <c r="G65" t="str">
        <f>"Statutární město Karviná"</f>
        <v>Statutární město Karviná</v>
      </c>
      <c r="H65" t="str">
        <f>"297534"</f>
        <v>297534</v>
      </c>
      <c r="I65" t="str">
        <f>"jiná právnická osoba (vč. obce a kraje)"</f>
        <v>jiná právnická osoba (vč. obce a kraje)</v>
      </c>
      <c r="J65" t="str">
        <f>"OPO"</f>
        <v>OPO</v>
      </c>
      <c r="K65" t="str">
        <f>"1"</f>
        <v>1</v>
      </c>
      <c r="L65" t="str">
        <f>"Vlastnické právo"</f>
        <v>Vlastnické právo</v>
      </c>
    </row>
    <row r="66" spans="1:12" x14ac:dyDescent="0.25">
      <c r="A66" t="str">
        <f>"Darkov"</f>
        <v>Darkov</v>
      </c>
      <c r="B66" t="str">
        <f>"573/3"</f>
        <v>573/3</v>
      </c>
      <c r="C66" t="str">
        <f>"644"</f>
        <v>644</v>
      </c>
      <c r="D66" t="str">
        <f>"lesní pozemek"</f>
        <v>lesní pozemek</v>
      </c>
      <c r="E66" t="str">
        <f>"les jiný než hospodářský"</f>
        <v>les jiný než hospodářský</v>
      </c>
      <c r="F66" t="str">
        <f>"10001"</f>
        <v>10001</v>
      </c>
      <c r="G66" t="str">
        <f>"Statutární město Karviná"</f>
        <v>Statutární město Karviná</v>
      </c>
      <c r="H66" t="str">
        <f>"297534"</f>
        <v>297534</v>
      </c>
      <c r="I66" t="str">
        <f>"jiná právnická osoba (vč. obce a kraje)"</f>
        <v>jiná právnická osoba (vč. obce a kraje)</v>
      </c>
      <c r="J66" t="str">
        <f>"OPO"</f>
        <v>OPO</v>
      </c>
      <c r="K66" t="str">
        <f>"1"</f>
        <v>1</v>
      </c>
      <c r="L66" t="str">
        <f>"Vlastnické právo"</f>
        <v>Vlastnické právo</v>
      </c>
    </row>
    <row r="67" spans="1:12" x14ac:dyDescent="0.25">
      <c r="A67" t="str">
        <f>"Darkov"</f>
        <v>Darkov</v>
      </c>
      <c r="B67" t="str">
        <f>"574"</f>
        <v>574</v>
      </c>
      <c r="C67" t="str">
        <f>"1785"</f>
        <v>1785</v>
      </c>
      <c r="D67" t="str">
        <f>"lesní pozemek"</f>
        <v>lesní pozemek</v>
      </c>
      <c r="E67" t="str">
        <f>"les jiný než hospodářský"</f>
        <v>les jiný než hospodářský</v>
      </c>
      <c r="F67" t="str">
        <f>"10001"</f>
        <v>10001</v>
      </c>
      <c r="G67" t="str">
        <f>"Statutární město Karviná"</f>
        <v>Statutární město Karviná</v>
      </c>
      <c r="H67" t="str">
        <f>"297534"</f>
        <v>297534</v>
      </c>
      <c r="I67" t="str">
        <f>"jiná právnická osoba (vč. obce a kraje)"</f>
        <v>jiná právnická osoba (vč. obce a kraje)</v>
      </c>
      <c r="J67" t="str">
        <f>"OPO"</f>
        <v>OPO</v>
      </c>
      <c r="K67" t="str">
        <f>"1"</f>
        <v>1</v>
      </c>
      <c r="L67" t="str">
        <f>"Vlastnické právo"</f>
        <v>Vlastnické právo</v>
      </c>
    </row>
    <row r="68" spans="1:12" x14ac:dyDescent="0.25">
      <c r="A68" t="str">
        <f>"Darkov"</f>
        <v>Darkov</v>
      </c>
      <c r="B68" t="str">
        <f>"576/1"</f>
        <v>576/1</v>
      </c>
      <c r="C68" t="str">
        <f>"986"</f>
        <v>986</v>
      </c>
      <c r="D68" t="str">
        <f>"lesní pozemek"</f>
        <v>lesní pozemek</v>
      </c>
      <c r="E68" t="str">
        <f>"les jiný než hospodářský"</f>
        <v>les jiný než hospodářský</v>
      </c>
      <c r="F68" t="str">
        <f>"10001"</f>
        <v>10001</v>
      </c>
      <c r="G68" t="str">
        <f>"Statutární město Karviná"</f>
        <v>Statutární město Karviná</v>
      </c>
      <c r="H68" t="str">
        <f>"297534"</f>
        <v>297534</v>
      </c>
      <c r="I68" t="str">
        <f>"jiná právnická osoba (vč. obce a kraje)"</f>
        <v>jiná právnická osoba (vč. obce a kraje)</v>
      </c>
      <c r="J68" t="str">
        <f>"OPO"</f>
        <v>OPO</v>
      </c>
      <c r="K68" t="str">
        <f>"1"</f>
        <v>1</v>
      </c>
      <c r="L68" t="str">
        <f>"Vlastnické právo"</f>
        <v>Vlastnické právo</v>
      </c>
    </row>
    <row r="69" spans="1:12" x14ac:dyDescent="0.25">
      <c r="A69" t="str">
        <f>"Darkov"</f>
        <v>Darkov</v>
      </c>
      <c r="B69" t="str">
        <f>"576/2"</f>
        <v>576/2</v>
      </c>
      <c r="C69" t="str">
        <f>"1976"</f>
        <v>1976</v>
      </c>
      <c r="D69" t="str">
        <f>"lesní pozemek"</f>
        <v>lesní pozemek</v>
      </c>
      <c r="E69" t="str">
        <f>"les jiný než hospodářský"</f>
        <v>les jiný než hospodářský</v>
      </c>
      <c r="F69" t="str">
        <f>"10001"</f>
        <v>10001</v>
      </c>
      <c r="G69" t="str">
        <f>"Statutární město Karviná"</f>
        <v>Statutární město Karviná</v>
      </c>
      <c r="H69" t="str">
        <f>"297534"</f>
        <v>297534</v>
      </c>
      <c r="I69" t="str">
        <f>"jiná právnická osoba (vč. obce a kraje)"</f>
        <v>jiná právnická osoba (vč. obce a kraje)</v>
      </c>
      <c r="J69" t="str">
        <f>"OPO"</f>
        <v>OPO</v>
      </c>
      <c r="K69" t="str">
        <f>"1"</f>
        <v>1</v>
      </c>
      <c r="L69" t="str">
        <f>"Vlastnické právo"</f>
        <v>Vlastnické právo</v>
      </c>
    </row>
    <row r="70" spans="1:12" x14ac:dyDescent="0.25">
      <c r="A70" t="str">
        <f>"Darkov"</f>
        <v>Darkov</v>
      </c>
      <c r="B70" t="str">
        <f>"577"</f>
        <v>577</v>
      </c>
      <c r="C70" t="str">
        <f>"545"</f>
        <v>545</v>
      </c>
      <c r="D70" t="str">
        <f>"lesní pozemek"</f>
        <v>lesní pozemek</v>
      </c>
      <c r="E70" t="str">
        <f>"les jiný než hospodářský"</f>
        <v>les jiný než hospodářský</v>
      </c>
      <c r="F70" t="str">
        <f>"10001"</f>
        <v>10001</v>
      </c>
      <c r="G70" t="str">
        <f>"Statutární město Karviná"</f>
        <v>Statutární město Karviná</v>
      </c>
      <c r="H70" t="str">
        <f>"297534"</f>
        <v>297534</v>
      </c>
      <c r="I70" t="str">
        <f>"jiná právnická osoba (vč. obce a kraje)"</f>
        <v>jiná právnická osoba (vč. obce a kraje)</v>
      </c>
      <c r="J70" t="str">
        <f>"OPO"</f>
        <v>OPO</v>
      </c>
      <c r="K70" t="str">
        <f>"1"</f>
        <v>1</v>
      </c>
      <c r="L70" t="str">
        <f>"Vlastnické právo"</f>
        <v>Vlastnické právo</v>
      </c>
    </row>
    <row r="71" spans="1:12" x14ac:dyDescent="0.25">
      <c r="A71" t="str">
        <f>"Darkov"</f>
        <v>Darkov</v>
      </c>
      <c r="B71" t="str">
        <f>"578"</f>
        <v>578</v>
      </c>
      <c r="C71" t="str">
        <f>"355"</f>
        <v>355</v>
      </c>
      <c r="D71" t="str">
        <f>"lesní pozemek"</f>
        <v>lesní pozemek</v>
      </c>
      <c r="E71" t="str">
        <f>"les jiný než hospodářský"</f>
        <v>les jiný než hospodářský</v>
      </c>
      <c r="F71" t="str">
        <f>"10001"</f>
        <v>10001</v>
      </c>
      <c r="G71" t="str">
        <f>"Statutární město Karviná"</f>
        <v>Statutární město Karviná</v>
      </c>
      <c r="H71" t="str">
        <f>"297534"</f>
        <v>297534</v>
      </c>
      <c r="I71" t="str">
        <f>"jiná právnická osoba (vč. obce a kraje)"</f>
        <v>jiná právnická osoba (vč. obce a kraje)</v>
      </c>
      <c r="J71" t="str">
        <f>"OPO"</f>
        <v>OPO</v>
      </c>
      <c r="K71" t="str">
        <f>"1"</f>
        <v>1</v>
      </c>
      <c r="L71" t="str">
        <f>"Vlastnické právo"</f>
        <v>Vlastnické právo</v>
      </c>
    </row>
    <row r="72" spans="1:12" x14ac:dyDescent="0.25">
      <c r="A72" t="str">
        <f>"Darkov"</f>
        <v>Darkov</v>
      </c>
      <c r="B72" t="str">
        <f>"579"</f>
        <v>579</v>
      </c>
      <c r="C72" t="str">
        <f>"212"</f>
        <v>212</v>
      </c>
      <c r="D72" t="str">
        <f>"lesní pozemek"</f>
        <v>lesní pozemek</v>
      </c>
      <c r="E72" t="str">
        <f>"les jiný než hospodářský"</f>
        <v>les jiný než hospodářský</v>
      </c>
      <c r="F72" t="str">
        <f>"10001"</f>
        <v>10001</v>
      </c>
      <c r="G72" t="str">
        <f>"Statutární město Karviná"</f>
        <v>Statutární město Karviná</v>
      </c>
      <c r="H72" t="str">
        <f>"297534"</f>
        <v>297534</v>
      </c>
      <c r="I72" t="str">
        <f>"jiná právnická osoba (vč. obce a kraje)"</f>
        <v>jiná právnická osoba (vč. obce a kraje)</v>
      </c>
      <c r="J72" t="str">
        <f>"OPO"</f>
        <v>OPO</v>
      </c>
      <c r="K72" t="str">
        <f>"1"</f>
        <v>1</v>
      </c>
      <c r="L72" t="str">
        <f>"Vlastnické právo"</f>
        <v>Vlastnické právo</v>
      </c>
    </row>
    <row r="73" spans="1:12" x14ac:dyDescent="0.25">
      <c r="A73" t="str">
        <f>"Darkov"</f>
        <v>Darkov</v>
      </c>
      <c r="B73" t="str">
        <f>"580"</f>
        <v>580</v>
      </c>
      <c r="C73" t="str">
        <f>"579"</f>
        <v>579</v>
      </c>
      <c r="D73" t="str">
        <f>"lesní pozemek"</f>
        <v>lesní pozemek</v>
      </c>
      <c r="E73" t="str">
        <f>"les jiný než hospodářský"</f>
        <v>les jiný než hospodářský</v>
      </c>
      <c r="F73" t="str">
        <f>"10001"</f>
        <v>10001</v>
      </c>
      <c r="G73" t="str">
        <f>"Statutární město Karviná"</f>
        <v>Statutární město Karviná</v>
      </c>
      <c r="H73" t="str">
        <f>"297534"</f>
        <v>297534</v>
      </c>
      <c r="I73" t="str">
        <f>"jiná právnická osoba (vč. obce a kraje)"</f>
        <v>jiná právnická osoba (vč. obce a kraje)</v>
      </c>
      <c r="J73" t="str">
        <f>"OPO"</f>
        <v>OPO</v>
      </c>
      <c r="K73" t="str">
        <f>"1"</f>
        <v>1</v>
      </c>
      <c r="L73" t="str">
        <f>"Vlastnické právo"</f>
        <v>Vlastnické právo</v>
      </c>
    </row>
    <row r="74" spans="1:12" x14ac:dyDescent="0.25">
      <c r="A74" t="str">
        <f>"Darkov"</f>
        <v>Darkov</v>
      </c>
      <c r="B74" t="str">
        <f>"581"</f>
        <v>581</v>
      </c>
      <c r="C74" t="str">
        <f>"1383"</f>
        <v>1383</v>
      </c>
      <c r="D74" t="str">
        <f>"lesní pozemek"</f>
        <v>lesní pozemek</v>
      </c>
      <c r="E74" t="str">
        <f>"les jiný než hospodářský"</f>
        <v>les jiný než hospodářský</v>
      </c>
      <c r="F74" t="str">
        <f>"10001"</f>
        <v>10001</v>
      </c>
      <c r="G74" t="str">
        <f>"Statutární město Karviná"</f>
        <v>Statutární město Karviná</v>
      </c>
      <c r="H74" t="str">
        <f>"297534"</f>
        <v>297534</v>
      </c>
      <c r="I74" t="str">
        <f>"jiná právnická osoba (vč. obce a kraje)"</f>
        <v>jiná právnická osoba (vč. obce a kraje)</v>
      </c>
      <c r="J74" t="str">
        <f>"OPO"</f>
        <v>OPO</v>
      </c>
      <c r="K74" t="str">
        <f>"1"</f>
        <v>1</v>
      </c>
      <c r="L74" t="str">
        <f>"Vlastnické právo"</f>
        <v>Vlastnické právo</v>
      </c>
    </row>
    <row r="75" spans="1:12" x14ac:dyDescent="0.25">
      <c r="A75" t="str">
        <f>"Darkov"</f>
        <v>Darkov</v>
      </c>
      <c r="B75" t="str">
        <f>"582/1"</f>
        <v>582/1</v>
      </c>
      <c r="C75" t="str">
        <f>"1950"</f>
        <v>1950</v>
      </c>
      <c r="D75" t="str">
        <f>"lesní pozemek"</f>
        <v>lesní pozemek</v>
      </c>
      <c r="E75" t="str">
        <f>"les jiný než hospodářský"</f>
        <v>les jiný než hospodářský</v>
      </c>
      <c r="F75" t="str">
        <f>"10001"</f>
        <v>10001</v>
      </c>
      <c r="G75" t="str">
        <f>"Statutární město Karviná"</f>
        <v>Statutární město Karviná</v>
      </c>
      <c r="H75" t="str">
        <f>"297534"</f>
        <v>297534</v>
      </c>
      <c r="I75" t="str">
        <f>"jiná právnická osoba (vč. obce a kraje)"</f>
        <v>jiná právnická osoba (vč. obce a kraje)</v>
      </c>
      <c r="J75" t="str">
        <f>"OPO"</f>
        <v>OPO</v>
      </c>
      <c r="K75" t="str">
        <f>"1"</f>
        <v>1</v>
      </c>
      <c r="L75" t="str">
        <f>"Vlastnické právo"</f>
        <v>Vlastnické právo</v>
      </c>
    </row>
    <row r="76" spans="1:12" x14ac:dyDescent="0.25">
      <c r="A76" t="str">
        <f>"Darkov"</f>
        <v>Darkov</v>
      </c>
      <c r="B76" t="str">
        <f>"582/2"</f>
        <v>582/2</v>
      </c>
      <c r="C76" t="str">
        <f>"24"</f>
        <v>24</v>
      </c>
      <c r="D76" t="str">
        <f>"lesní pozemek"</f>
        <v>lesní pozemek</v>
      </c>
      <c r="E76" t="str">
        <f>"les jiný než hospodářský"</f>
        <v>les jiný než hospodářský</v>
      </c>
      <c r="F76" t="str">
        <f>"10001"</f>
        <v>10001</v>
      </c>
      <c r="G76" t="str">
        <f>"Statutární město Karviná"</f>
        <v>Statutární město Karviná</v>
      </c>
      <c r="H76" t="str">
        <f>"297534"</f>
        <v>297534</v>
      </c>
      <c r="I76" t="str">
        <f>"jiná právnická osoba (vč. obce a kraje)"</f>
        <v>jiná právnická osoba (vč. obce a kraje)</v>
      </c>
      <c r="J76" t="str">
        <f>"OPO"</f>
        <v>OPO</v>
      </c>
      <c r="K76" t="str">
        <f>"1"</f>
        <v>1</v>
      </c>
      <c r="L76" t="str">
        <f>"Vlastnické právo"</f>
        <v>Vlastnické právo</v>
      </c>
    </row>
    <row r="77" spans="1:12" x14ac:dyDescent="0.25">
      <c r="A77" t="str">
        <f>"Darkov"</f>
        <v>Darkov</v>
      </c>
      <c r="B77" t="str">
        <f>"583"</f>
        <v>583</v>
      </c>
      <c r="C77" t="str">
        <f>"287"</f>
        <v>287</v>
      </c>
      <c r="D77" t="str">
        <f>"lesní pozemek"</f>
        <v>lesní pozemek</v>
      </c>
      <c r="E77" t="str">
        <f>"les jiný než hospodářský"</f>
        <v>les jiný než hospodářský</v>
      </c>
      <c r="F77" t="str">
        <f>"10001"</f>
        <v>10001</v>
      </c>
      <c r="G77" t="str">
        <f>"Statutární město Karviná"</f>
        <v>Statutární město Karviná</v>
      </c>
      <c r="H77" t="str">
        <f>"297534"</f>
        <v>297534</v>
      </c>
      <c r="I77" t="str">
        <f>"jiná právnická osoba (vč. obce a kraje)"</f>
        <v>jiná právnická osoba (vč. obce a kraje)</v>
      </c>
      <c r="J77" t="str">
        <f>"OPO"</f>
        <v>OPO</v>
      </c>
      <c r="K77" t="str">
        <f>"1"</f>
        <v>1</v>
      </c>
      <c r="L77" t="str">
        <f>"Vlastnické právo"</f>
        <v>Vlastnické právo</v>
      </c>
    </row>
    <row r="78" spans="1:12" x14ac:dyDescent="0.25">
      <c r="A78" t="str">
        <f>"Darkov"</f>
        <v>Darkov</v>
      </c>
      <c r="B78" t="str">
        <f>"584/1"</f>
        <v>584/1</v>
      </c>
      <c r="C78" t="str">
        <f>"213"</f>
        <v>213</v>
      </c>
      <c r="D78" t="str">
        <f>"lesní pozemek"</f>
        <v>lesní pozemek</v>
      </c>
      <c r="E78" t="str">
        <f>"les jiný než hospodářský"</f>
        <v>les jiný než hospodářský</v>
      </c>
      <c r="F78" t="str">
        <f>"10001"</f>
        <v>10001</v>
      </c>
      <c r="G78" t="str">
        <f>"Statutární město Karviná"</f>
        <v>Statutární město Karviná</v>
      </c>
      <c r="H78" t="str">
        <f>"297534"</f>
        <v>297534</v>
      </c>
      <c r="I78" t="str">
        <f>"jiná právnická osoba (vč. obce a kraje)"</f>
        <v>jiná právnická osoba (vč. obce a kraje)</v>
      </c>
      <c r="J78" t="str">
        <f>"OPO"</f>
        <v>OPO</v>
      </c>
      <c r="K78" t="str">
        <f>"1"</f>
        <v>1</v>
      </c>
      <c r="L78" t="str">
        <f>"Vlastnické právo"</f>
        <v>Vlastnické právo</v>
      </c>
    </row>
    <row r="79" spans="1:12" x14ac:dyDescent="0.25">
      <c r="A79" t="str">
        <f>"Darkov"</f>
        <v>Darkov</v>
      </c>
      <c r="B79" t="str">
        <f>"584/2"</f>
        <v>584/2</v>
      </c>
      <c r="C79" t="str">
        <f>"104"</f>
        <v>104</v>
      </c>
      <c r="D79" t="str">
        <f>"lesní pozemek"</f>
        <v>lesní pozemek</v>
      </c>
      <c r="E79" t="str">
        <f>"les jiný než hospodářský"</f>
        <v>les jiný než hospodářský</v>
      </c>
      <c r="F79" t="str">
        <f>"10001"</f>
        <v>10001</v>
      </c>
      <c r="G79" t="str">
        <f>"Statutární město Karviná"</f>
        <v>Statutární město Karviná</v>
      </c>
      <c r="H79" t="str">
        <f>"297534"</f>
        <v>297534</v>
      </c>
      <c r="I79" t="str">
        <f>"jiná právnická osoba (vč. obce a kraje)"</f>
        <v>jiná právnická osoba (vč. obce a kraje)</v>
      </c>
      <c r="J79" t="str">
        <f>"OPO"</f>
        <v>OPO</v>
      </c>
      <c r="K79" t="str">
        <f>"1"</f>
        <v>1</v>
      </c>
      <c r="L79" t="str">
        <f>"Vlastnické právo"</f>
        <v>Vlastnické právo</v>
      </c>
    </row>
    <row r="80" spans="1:12" x14ac:dyDescent="0.25">
      <c r="A80" t="str">
        <f>"Darkov"</f>
        <v>Darkov</v>
      </c>
      <c r="B80" t="str">
        <f>"585"</f>
        <v>585</v>
      </c>
      <c r="C80" t="str">
        <f>"1220"</f>
        <v>1220</v>
      </c>
      <c r="D80" t="str">
        <f>"lesní pozemek"</f>
        <v>lesní pozemek</v>
      </c>
      <c r="E80" t="str">
        <f>"les jiný než hospodářský"</f>
        <v>les jiný než hospodářský</v>
      </c>
      <c r="F80" t="str">
        <f>"10001"</f>
        <v>10001</v>
      </c>
      <c r="G80" t="str">
        <f>"Statutární město Karviná"</f>
        <v>Statutární město Karviná</v>
      </c>
      <c r="H80" t="str">
        <f>"297534"</f>
        <v>297534</v>
      </c>
      <c r="I80" t="str">
        <f>"jiná právnická osoba (vč. obce a kraje)"</f>
        <v>jiná právnická osoba (vč. obce a kraje)</v>
      </c>
      <c r="J80" t="str">
        <f>"OPO"</f>
        <v>OPO</v>
      </c>
      <c r="K80" t="str">
        <f>"1"</f>
        <v>1</v>
      </c>
      <c r="L80" t="str">
        <f>"Vlastnické právo"</f>
        <v>Vlastnické právo</v>
      </c>
    </row>
    <row r="81" spans="1:12" x14ac:dyDescent="0.25">
      <c r="A81" t="str">
        <f>"Darkov"</f>
        <v>Darkov</v>
      </c>
      <c r="B81" t="str">
        <f>"586/1"</f>
        <v>586/1</v>
      </c>
      <c r="C81" t="str">
        <f>"3458"</f>
        <v>3458</v>
      </c>
      <c r="D81" t="str">
        <f>"lesní pozemek"</f>
        <v>lesní pozemek</v>
      </c>
      <c r="E81" t="str">
        <f>"les jiný než hospodářský"</f>
        <v>les jiný než hospodářský</v>
      </c>
      <c r="F81" t="str">
        <f>"10001"</f>
        <v>10001</v>
      </c>
      <c r="G81" t="str">
        <f>"Statutární město Karviná"</f>
        <v>Statutární město Karviná</v>
      </c>
      <c r="H81" t="str">
        <f>"297534"</f>
        <v>297534</v>
      </c>
      <c r="I81" t="str">
        <f>"jiná právnická osoba (vč. obce a kraje)"</f>
        <v>jiná právnická osoba (vč. obce a kraje)</v>
      </c>
      <c r="J81" t="str">
        <f>"OPO"</f>
        <v>OPO</v>
      </c>
      <c r="K81" t="str">
        <f>"1"</f>
        <v>1</v>
      </c>
      <c r="L81" t="str">
        <f>"Vlastnické právo"</f>
        <v>Vlastnické právo</v>
      </c>
    </row>
    <row r="82" spans="1:12" x14ac:dyDescent="0.25">
      <c r="A82" t="str">
        <f>"Darkov"</f>
        <v>Darkov</v>
      </c>
      <c r="B82" t="str">
        <f>"587/2"</f>
        <v>587/2</v>
      </c>
      <c r="C82" t="str">
        <f>"779"</f>
        <v>779</v>
      </c>
      <c r="D82" t="str">
        <f>"lesní pozemek"</f>
        <v>lesní pozemek</v>
      </c>
      <c r="E82" t="str">
        <f>"les jiný než hospodářský"</f>
        <v>les jiný než hospodářský</v>
      </c>
      <c r="F82" t="str">
        <f>"10001"</f>
        <v>10001</v>
      </c>
      <c r="G82" t="str">
        <f>"Statutární město Karviná"</f>
        <v>Statutární město Karviná</v>
      </c>
      <c r="H82" t="str">
        <f>"297534"</f>
        <v>297534</v>
      </c>
      <c r="I82" t="str">
        <f>"jiná právnická osoba (vč. obce a kraje)"</f>
        <v>jiná právnická osoba (vč. obce a kraje)</v>
      </c>
      <c r="J82" t="str">
        <f>"OPO"</f>
        <v>OPO</v>
      </c>
      <c r="K82" t="str">
        <f>"1"</f>
        <v>1</v>
      </c>
      <c r="L82" t="str">
        <f>"Vlastnické právo"</f>
        <v>Vlastnické právo</v>
      </c>
    </row>
    <row r="83" spans="1:12" x14ac:dyDescent="0.25">
      <c r="A83" t="str">
        <f>"Darkov"</f>
        <v>Darkov</v>
      </c>
      <c r="B83" t="str">
        <f>"590"</f>
        <v>590</v>
      </c>
      <c r="C83" t="str">
        <f>"317"</f>
        <v>317</v>
      </c>
      <c r="D83" t="str">
        <f>"lesní pozemek"</f>
        <v>lesní pozemek</v>
      </c>
      <c r="E83" t="str">
        <f>""</f>
        <v/>
      </c>
      <c r="F83" t="str">
        <f>"10001"</f>
        <v>10001</v>
      </c>
      <c r="G83" t="str">
        <f>"Statutární město Karviná"</f>
        <v>Statutární město Karviná</v>
      </c>
      <c r="H83" t="str">
        <f>"297534"</f>
        <v>297534</v>
      </c>
      <c r="I83" t="str">
        <f>"jiná právnická osoba (vč. obce a kraje)"</f>
        <v>jiná právnická osoba (vč. obce a kraje)</v>
      </c>
      <c r="J83" t="str">
        <f>"OPO"</f>
        <v>OPO</v>
      </c>
      <c r="K83" t="str">
        <f>"1"</f>
        <v>1</v>
      </c>
      <c r="L83" t="str">
        <f>"Vlastnické právo"</f>
        <v>Vlastnické právo</v>
      </c>
    </row>
    <row r="84" spans="1:12" x14ac:dyDescent="0.25">
      <c r="A84" t="str">
        <f>"Darkov"</f>
        <v>Darkov</v>
      </c>
      <c r="B84" t="str">
        <f>"591/1"</f>
        <v>591/1</v>
      </c>
      <c r="C84" t="str">
        <f>"2550"</f>
        <v>2550</v>
      </c>
      <c r="D84" t="str">
        <f>"lesní pozemek"</f>
        <v>lesní pozemek</v>
      </c>
      <c r="E84" t="str">
        <f>"les jiný než hospodářský"</f>
        <v>les jiný než hospodářský</v>
      </c>
      <c r="F84" t="str">
        <f>"10001"</f>
        <v>10001</v>
      </c>
      <c r="G84" t="str">
        <f>"Statutární město Karviná"</f>
        <v>Statutární město Karviná</v>
      </c>
      <c r="H84" t="str">
        <f>"297534"</f>
        <v>297534</v>
      </c>
      <c r="I84" t="str">
        <f>"jiná právnická osoba (vč. obce a kraje)"</f>
        <v>jiná právnická osoba (vč. obce a kraje)</v>
      </c>
      <c r="J84" t="str">
        <f>"OPO"</f>
        <v>OPO</v>
      </c>
      <c r="K84" t="str">
        <f>"1"</f>
        <v>1</v>
      </c>
      <c r="L84" t="str">
        <f>"Vlastnické právo"</f>
        <v>Vlastnické právo</v>
      </c>
    </row>
    <row r="85" spans="1:12" x14ac:dyDescent="0.25">
      <c r="A85" t="str">
        <f>"Darkov"</f>
        <v>Darkov</v>
      </c>
      <c r="B85" t="str">
        <f>"591/2"</f>
        <v>591/2</v>
      </c>
      <c r="C85" t="str">
        <f>"828"</f>
        <v>828</v>
      </c>
      <c r="D85" t="str">
        <f>"lesní pozemek"</f>
        <v>lesní pozemek</v>
      </c>
      <c r="E85" t="str">
        <f>"les jiný než hospodářský"</f>
        <v>les jiný než hospodářský</v>
      </c>
      <c r="F85" t="str">
        <f>"10001"</f>
        <v>10001</v>
      </c>
      <c r="G85" t="str">
        <f>"Statutární město Karviná"</f>
        <v>Statutární město Karviná</v>
      </c>
      <c r="H85" t="str">
        <f>"297534"</f>
        <v>297534</v>
      </c>
      <c r="I85" t="str">
        <f>"jiná právnická osoba (vč. obce a kraje)"</f>
        <v>jiná právnická osoba (vč. obce a kraje)</v>
      </c>
      <c r="J85" t="str">
        <f>"OPO"</f>
        <v>OPO</v>
      </c>
      <c r="K85" t="str">
        <f>"1"</f>
        <v>1</v>
      </c>
      <c r="L85" t="str">
        <f>"Vlastnické právo"</f>
        <v>Vlastnické právo</v>
      </c>
    </row>
    <row r="86" spans="1:12" x14ac:dyDescent="0.25">
      <c r="A86" t="str">
        <f>"Darkov"</f>
        <v>Darkov</v>
      </c>
      <c r="B86" t="str">
        <f>"591/3"</f>
        <v>591/3</v>
      </c>
      <c r="C86" t="str">
        <f>"126"</f>
        <v>126</v>
      </c>
      <c r="D86" t="str">
        <f>"lesní pozemek"</f>
        <v>lesní pozemek</v>
      </c>
      <c r="E86" t="str">
        <f>"les jiný než hospodářský"</f>
        <v>les jiný než hospodářský</v>
      </c>
      <c r="F86" t="str">
        <f>"10001"</f>
        <v>10001</v>
      </c>
      <c r="G86" t="str">
        <f>"Statutární město Karviná"</f>
        <v>Statutární město Karviná</v>
      </c>
      <c r="H86" t="str">
        <f>"297534"</f>
        <v>297534</v>
      </c>
      <c r="I86" t="str">
        <f>"jiná právnická osoba (vč. obce a kraje)"</f>
        <v>jiná právnická osoba (vč. obce a kraje)</v>
      </c>
      <c r="J86" t="str">
        <f>"OPO"</f>
        <v>OPO</v>
      </c>
      <c r="K86" t="str">
        <f>"1"</f>
        <v>1</v>
      </c>
      <c r="L86" t="str">
        <f>"Vlastnické právo"</f>
        <v>Vlastnické právo</v>
      </c>
    </row>
    <row r="87" spans="1:12" x14ac:dyDescent="0.25">
      <c r="A87" t="str">
        <f>"Darkov"</f>
        <v>Darkov</v>
      </c>
      <c r="B87" t="str">
        <f>"591/4"</f>
        <v>591/4</v>
      </c>
      <c r="C87" t="str">
        <f>"2599"</f>
        <v>2599</v>
      </c>
      <c r="D87" t="str">
        <f>"lesní pozemek"</f>
        <v>lesní pozemek</v>
      </c>
      <c r="E87" t="str">
        <f>"les jiný než hospodářský"</f>
        <v>les jiný než hospodářský</v>
      </c>
      <c r="F87" t="str">
        <f>"10001"</f>
        <v>10001</v>
      </c>
      <c r="G87" t="str">
        <f>"Statutární město Karviná"</f>
        <v>Statutární město Karviná</v>
      </c>
      <c r="H87" t="str">
        <f>"297534"</f>
        <v>297534</v>
      </c>
      <c r="I87" t="str">
        <f>"jiná právnická osoba (vč. obce a kraje)"</f>
        <v>jiná právnická osoba (vč. obce a kraje)</v>
      </c>
      <c r="J87" t="str">
        <f>"OPO"</f>
        <v>OPO</v>
      </c>
      <c r="K87" t="str">
        <f>"1"</f>
        <v>1</v>
      </c>
      <c r="L87" t="str">
        <f>"Vlastnické právo"</f>
        <v>Vlastnické právo</v>
      </c>
    </row>
    <row r="88" spans="1:12" x14ac:dyDescent="0.25">
      <c r="A88" t="str">
        <f>"Darkov"</f>
        <v>Darkov</v>
      </c>
      <c r="B88" t="str">
        <f>"592"</f>
        <v>592</v>
      </c>
      <c r="C88" t="str">
        <f>"921"</f>
        <v>921</v>
      </c>
      <c r="D88" t="str">
        <f>"lesní pozemek"</f>
        <v>lesní pozemek</v>
      </c>
      <c r="E88" t="str">
        <f>"les jiný než hospodářský"</f>
        <v>les jiný než hospodářský</v>
      </c>
      <c r="F88" t="str">
        <f>"10001"</f>
        <v>10001</v>
      </c>
      <c r="G88" t="str">
        <f>"Statutární město Karviná"</f>
        <v>Statutární město Karviná</v>
      </c>
      <c r="H88" t="str">
        <f>"297534"</f>
        <v>297534</v>
      </c>
      <c r="I88" t="str">
        <f>"jiná právnická osoba (vč. obce a kraje)"</f>
        <v>jiná právnická osoba (vč. obce a kraje)</v>
      </c>
      <c r="J88" t="str">
        <f>"OPO"</f>
        <v>OPO</v>
      </c>
      <c r="K88" t="str">
        <f>"1"</f>
        <v>1</v>
      </c>
      <c r="L88" t="str">
        <f>"Vlastnické právo"</f>
        <v>Vlastnické právo</v>
      </c>
    </row>
    <row r="89" spans="1:12" x14ac:dyDescent="0.25">
      <c r="A89" t="str">
        <f>"Darkov"</f>
        <v>Darkov</v>
      </c>
      <c r="B89" t="str">
        <f>"593"</f>
        <v>593</v>
      </c>
      <c r="C89" t="str">
        <f>"1019"</f>
        <v>1019</v>
      </c>
      <c r="D89" t="str">
        <f>"lesní pozemek"</f>
        <v>lesní pozemek</v>
      </c>
      <c r="E89" t="str">
        <f>"les jiný než hospodářský"</f>
        <v>les jiný než hospodářský</v>
      </c>
      <c r="F89" t="str">
        <f>"10001"</f>
        <v>10001</v>
      </c>
      <c r="G89" t="str">
        <f>"Statutární město Karviná"</f>
        <v>Statutární město Karviná</v>
      </c>
      <c r="H89" t="str">
        <f>"297534"</f>
        <v>297534</v>
      </c>
      <c r="I89" t="str">
        <f>"jiná právnická osoba (vč. obce a kraje)"</f>
        <v>jiná právnická osoba (vč. obce a kraje)</v>
      </c>
      <c r="J89" t="str">
        <f>"OPO"</f>
        <v>OPO</v>
      </c>
      <c r="K89" t="str">
        <f>"1"</f>
        <v>1</v>
      </c>
      <c r="L89" t="str">
        <f>"Vlastnické právo"</f>
        <v>Vlastnické právo</v>
      </c>
    </row>
    <row r="90" spans="1:12" x14ac:dyDescent="0.25">
      <c r="A90" t="str">
        <f>"Darkov"</f>
        <v>Darkov</v>
      </c>
      <c r="B90" t="str">
        <f>"594/1"</f>
        <v>594/1</v>
      </c>
      <c r="C90" t="str">
        <f>"670"</f>
        <v>670</v>
      </c>
      <c r="D90" t="str">
        <f>"lesní pozemek"</f>
        <v>lesní pozemek</v>
      </c>
      <c r="E90" t="str">
        <f>"les jiný než hospodářský"</f>
        <v>les jiný než hospodářský</v>
      </c>
      <c r="F90" t="str">
        <f>"10001"</f>
        <v>10001</v>
      </c>
      <c r="G90" t="str">
        <f>"Statutární město Karviná"</f>
        <v>Statutární město Karviná</v>
      </c>
      <c r="H90" t="str">
        <f>"297534"</f>
        <v>297534</v>
      </c>
      <c r="I90" t="str">
        <f>"jiná právnická osoba (vč. obce a kraje)"</f>
        <v>jiná právnická osoba (vč. obce a kraje)</v>
      </c>
      <c r="J90" t="str">
        <f>"OPO"</f>
        <v>OPO</v>
      </c>
      <c r="K90" t="str">
        <f>"1"</f>
        <v>1</v>
      </c>
      <c r="L90" t="str">
        <f>"Vlastnické právo"</f>
        <v>Vlastnické právo</v>
      </c>
    </row>
    <row r="91" spans="1:12" x14ac:dyDescent="0.25">
      <c r="A91" t="str">
        <f>"Darkov"</f>
        <v>Darkov</v>
      </c>
      <c r="B91" t="str">
        <f>"594/2"</f>
        <v>594/2</v>
      </c>
      <c r="C91" t="str">
        <f>"535"</f>
        <v>535</v>
      </c>
      <c r="D91" t="str">
        <f>"lesní pozemek"</f>
        <v>lesní pozemek</v>
      </c>
      <c r="E91" t="str">
        <f>"les jiný než hospodářský"</f>
        <v>les jiný než hospodářský</v>
      </c>
      <c r="F91" t="str">
        <f>"10001"</f>
        <v>10001</v>
      </c>
      <c r="G91" t="str">
        <f>"Statutární město Karviná"</f>
        <v>Statutární město Karviná</v>
      </c>
      <c r="H91" t="str">
        <f>"297534"</f>
        <v>297534</v>
      </c>
      <c r="I91" t="str">
        <f>"jiná právnická osoba (vč. obce a kraje)"</f>
        <v>jiná právnická osoba (vč. obce a kraje)</v>
      </c>
      <c r="J91" t="str">
        <f>"OPO"</f>
        <v>OPO</v>
      </c>
      <c r="K91" t="str">
        <f>"1"</f>
        <v>1</v>
      </c>
      <c r="L91" t="str">
        <f>"Vlastnické právo"</f>
        <v>Vlastnické právo</v>
      </c>
    </row>
    <row r="92" spans="1:12" x14ac:dyDescent="0.25">
      <c r="A92" t="str">
        <f>"Darkov"</f>
        <v>Darkov</v>
      </c>
      <c r="B92" t="str">
        <f>"595"</f>
        <v>595</v>
      </c>
      <c r="C92" t="str">
        <f>"279"</f>
        <v>279</v>
      </c>
      <c r="D92" t="str">
        <f>"lesní pozemek"</f>
        <v>lesní pozemek</v>
      </c>
      <c r="E92" t="str">
        <f>"les jiný než hospodářský"</f>
        <v>les jiný než hospodářský</v>
      </c>
      <c r="F92" t="str">
        <f>"10001"</f>
        <v>10001</v>
      </c>
      <c r="G92" t="str">
        <f>"Statutární město Karviná"</f>
        <v>Statutární město Karviná</v>
      </c>
      <c r="H92" t="str">
        <f>"297534"</f>
        <v>297534</v>
      </c>
      <c r="I92" t="str">
        <f>"jiná právnická osoba (vč. obce a kraje)"</f>
        <v>jiná právnická osoba (vč. obce a kraje)</v>
      </c>
      <c r="J92" t="str">
        <f>"OPO"</f>
        <v>OPO</v>
      </c>
      <c r="K92" t="str">
        <f>"1"</f>
        <v>1</v>
      </c>
      <c r="L92" t="str">
        <f>"Vlastnické právo"</f>
        <v>Vlastnické právo</v>
      </c>
    </row>
    <row r="93" spans="1:12" x14ac:dyDescent="0.25">
      <c r="A93" t="str">
        <f>"Darkov"</f>
        <v>Darkov</v>
      </c>
      <c r="B93" t="str">
        <f>"596/1"</f>
        <v>596/1</v>
      </c>
      <c r="C93" t="str">
        <f>"1210"</f>
        <v>1210</v>
      </c>
      <c r="D93" t="str">
        <f>"lesní pozemek"</f>
        <v>lesní pozemek</v>
      </c>
      <c r="E93" t="str">
        <f>"les jiný než hospodářský"</f>
        <v>les jiný než hospodářský</v>
      </c>
      <c r="F93" t="str">
        <f>"10001"</f>
        <v>10001</v>
      </c>
      <c r="G93" t="str">
        <f>"Statutární město Karviná"</f>
        <v>Statutární město Karviná</v>
      </c>
      <c r="H93" t="str">
        <f>"297534"</f>
        <v>297534</v>
      </c>
      <c r="I93" t="str">
        <f>"jiná právnická osoba (vč. obce a kraje)"</f>
        <v>jiná právnická osoba (vč. obce a kraje)</v>
      </c>
      <c r="J93" t="str">
        <f>"OPO"</f>
        <v>OPO</v>
      </c>
      <c r="K93" t="str">
        <f>"1"</f>
        <v>1</v>
      </c>
      <c r="L93" t="str">
        <f>"Vlastnické právo"</f>
        <v>Vlastnické právo</v>
      </c>
    </row>
    <row r="94" spans="1:12" x14ac:dyDescent="0.25">
      <c r="A94" t="str">
        <f>"Darkov"</f>
        <v>Darkov</v>
      </c>
      <c r="B94" t="str">
        <f>"596/2"</f>
        <v>596/2</v>
      </c>
      <c r="C94" t="str">
        <f>"700"</f>
        <v>700</v>
      </c>
      <c r="D94" t="str">
        <f>"lesní pozemek"</f>
        <v>lesní pozemek</v>
      </c>
      <c r="E94" t="str">
        <f>"les jiný než hospodářský"</f>
        <v>les jiný než hospodářský</v>
      </c>
      <c r="F94" t="str">
        <f>"10001"</f>
        <v>10001</v>
      </c>
      <c r="G94" t="str">
        <f>"Statutární město Karviná"</f>
        <v>Statutární město Karviná</v>
      </c>
      <c r="H94" t="str">
        <f>"297534"</f>
        <v>297534</v>
      </c>
      <c r="I94" t="str">
        <f>"jiná právnická osoba (vč. obce a kraje)"</f>
        <v>jiná právnická osoba (vč. obce a kraje)</v>
      </c>
      <c r="J94" t="str">
        <f>"OPO"</f>
        <v>OPO</v>
      </c>
      <c r="K94" t="str">
        <f>"1"</f>
        <v>1</v>
      </c>
      <c r="L94" t="str">
        <f>"Vlastnické právo"</f>
        <v>Vlastnické právo</v>
      </c>
    </row>
    <row r="95" spans="1:12" x14ac:dyDescent="0.25">
      <c r="A95" t="str">
        <f>"Darkov"</f>
        <v>Darkov</v>
      </c>
      <c r="B95" t="str">
        <f>"597"</f>
        <v>597</v>
      </c>
      <c r="C95" t="str">
        <f>"1453"</f>
        <v>1453</v>
      </c>
      <c r="D95" t="str">
        <f>"lesní pozemek"</f>
        <v>lesní pozemek</v>
      </c>
      <c r="E95" t="str">
        <f>"les jiný než hospodářský"</f>
        <v>les jiný než hospodářský</v>
      </c>
      <c r="F95" t="str">
        <f>"10001"</f>
        <v>10001</v>
      </c>
      <c r="G95" t="str">
        <f>"Statutární město Karviná"</f>
        <v>Statutární město Karviná</v>
      </c>
      <c r="H95" t="str">
        <f>"297534"</f>
        <v>297534</v>
      </c>
      <c r="I95" t="str">
        <f>"jiná právnická osoba (vč. obce a kraje)"</f>
        <v>jiná právnická osoba (vč. obce a kraje)</v>
      </c>
      <c r="J95" t="str">
        <f>"OPO"</f>
        <v>OPO</v>
      </c>
      <c r="K95" t="str">
        <f>"1"</f>
        <v>1</v>
      </c>
      <c r="L95" t="str">
        <f>"Vlastnické právo"</f>
        <v>Vlastnické právo</v>
      </c>
    </row>
    <row r="96" spans="1:12" x14ac:dyDescent="0.25">
      <c r="A96" t="str">
        <f>"Darkov"</f>
        <v>Darkov</v>
      </c>
      <c r="B96" t="str">
        <f>"598"</f>
        <v>598</v>
      </c>
      <c r="C96" t="str">
        <f>"391"</f>
        <v>391</v>
      </c>
      <c r="D96" t="str">
        <f>"lesní pozemek"</f>
        <v>lesní pozemek</v>
      </c>
      <c r="E96" t="str">
        <f>"les jiný než hospodářský"</f>
        <v>les jiný než hospodářský</v>
      </c>
      <c r="F96" t="str">
        <f>"10001"</f>
        <v>10001</v>
      </c>
      <c r="G96" t="str">
        <f>"Statutární město Karviná"</f>
        <v>Statutární město Karviná</v>
      </c>
      <c r="H96" t="str">
        <f>"297534"</f>
        <v>297534</v>
      </c>
      <c r="I96" t="str">
        <f>"jiná právnická osoba (vč. obce a kraje)"</f>
        <v>jiná právnická osoba (vč. obce a kraje)</v>
      </c>
      <c r="J96" t="str">
        <f>"OPO"</f>
        <v>OPO</v>
      </c>
      <c r="K96" t="str">
        <f>"1"</f>
        <v>1</v>
      </c>
      <c r="L96" t="str">
        <f>"Vlastnické právo"</f>
        <v>Vlastnické právo</v>
      </c>
    </row>
    <row r="97" spans="1:12" x14ac:dyDescent="0.25">
      <c r="A97" t="str">
        <f>"Darkov"</f>
        <v>Darkov</v>
      </c>
      <c r="B97" t="str">
        <f>"599"</f>
        <v>599</v>
      </c>
      <c r="C97" t="str">
        <f>"345"</f>
        <v>345</v>
      </c>
      <c r="D97" t="str">
        <f>"lesní pozemek"</f>
        <v>lesní pozemek</v>
      </c>
      <c r="E97" t="str">
        <f>"les jiný než hospodářský"</f>
        <v>les jiný než hospodářský</v>
      </c>
      <c r="F97" t="str">
        <f>"10001"</f>
        <v>10001</v>
      </c>
      <c r="G97" t="str">
        <f>"Statutární město Karviná"</f>
        <v>Statutární město Karviná</v>
      </c>
      <c r="H97" t="str">
        <f>"297534"</f>
        <v>297534</v>
      </c>
      <c r="I97" t="str">
        <f>"jiná právnická osoba (vč. obce a kraje)"</f>
        <v>jiná právnická osoba (vč. obce a kraje)</v>
      </c>
      <c r="J97" t="str">
        <f>"OPO"</f>
        <v>OPO</v>
      </c>
      <c r="K97" t="str">
        <f>"1"</f>
        <v>1</v>
      </c>
      <c r="L97" t="str">
        <f>"Vlastnické právo"</f>
        <v>Vlastnické právo</v>
      </c>
    </row>
    <row r="98" spans="1:12" x14ac:dyDescent="0.25">
      <c r="A98" t="str">
        <f>"Darkov"</f>
        <v>Darkov</v>
      </c>
      <c r="B98" t="str">
        <f>"600"</f>
        <v>600</v>
      </c>
      <c r="C98" t="str">
        <f>"1623"</f>
        <v>1623</v>
      </c>
      <c r="D98" t="str">
        <f>"lesní pozemek"</f>
        <v>lesní pozemek</v>
      </c>
      <c r="E98" t="str">
        <f>"les jiný než hospodářský"</f>
        <v>les jiný než hospodářský</v>
      </c>
      <c r="F98" t="str">
        <f>"10001"</f>
        <v>10001</v>
      </c>
      <c r="G98" t="str">
        <f>"Statutární město Karviná"</f>
        <v>Statutární město Karviná</v>
      </c>
      <c r="H98" t="str">
        <f>"297534"</f>
        <v>297534</v>
      </c>
      <c r="I98" t="str">
        <f>"jiná právnická osoba (vč. obce a kraje)"</f>
        <v>jiná právnická osoba (vč. obce a kraje)</v>
      </c>
      <c r="J98" t="str">
        <f>"OPO"</f>
        <v>OPO</v>
      </c>
      <c r="K98" t="str">
        <f>"1"</f>
        <v>1</v>
      </c>
      <c r="L98" t="str">
        <f>"Vlastnické právo"</f>
        <v>Vlastnické právo</v>
      </c>
    </row>
    <row r="99" spans="1:12" x14ac:dyDescent="0.25">
      <c r="A99" t="str">
        <f>"Darkov"</f>
        <v>Darkov</v>
      </c>
      <c r="B99" t="str">
        <f>"601"</f>
        <v>601</v>
      </c>
      <c r="C99" t="str">
        <f>"287"</f>
        <v>287</v>
      </c>
      <c r="D99" t="str">
        <f>"lesní pozemek"</f>
        <v>lesní pozemek</v>
      </c>
      <c r="E99" t="str">
        <f>"les jiný než hospodářský"</f>
        <v>les jiný než hospodářský</v>
      </c>
      <c r="F99" t="str">
        <f>"10001"</f>
        <v>10001</v>
      </c>
      <c r="G99" t="str">
        <f>"Statutární město Karviná"</f>
        <v>Statutární město Karviná</v>
      </c>
      <c r="H99" t="str">
        <f>"297534"</f>
        <v>297534</v>
      </c>
      <c r="I99" t="str">
        <f>"jiná právnická osoba (vč. obce a kraje)"</f>
        <v>jiná právnická osoba (vč. obce a kraje)</v>
      </c>
      <c r="J99" t="str">
        <f>"OPO"</f>
        <v>OPO</v>
      </c>
      <c r="K99" t="str">
        <f>"1"</f>
        <v>1</v>
      </c>
      <c r="L99" t="str">
        <f>"Vlastnické právo"</f>
        <v>Vlastnické právo</v>
      </c>
    </row>
    <row r="100" spans="1:12" x14ac:dyDescent="0.25">
      <c r="A100" t="str">
        <f>"Darkov"</f>
        <v>Darkov</v>
      </c>
      <c r="B100" t="str">
        <f>"603/2"</f>
        <v>603/2</v>
      </c>
      <c r="C100" t="str">
        <f>"1498"</f>
        <v>1498</v>
      </c>
      <c r="D100" t="str">
        <f>"lesní pozemek"</f>
        <v>lesní pozemek</v>
      </c>
      <c r="E100" t="str">
        <f>"les jiný než hospodářský"</f>
        <v>les jiný než hospodářský</v>
      </c>
      <c r="F100" t="str">
        <f>"10001"</f>
        <v>10001</v>
      </c>
      <c r="G100" t="str">
        <f>"Statutární město Karviná"</f>
        <v>Statutární město Karviná</v>
      </c>
      <c r="H100" t="str">
        <f>"297534"</f>
        <v>297534</v>
      </c>
      <c r="I100" t="str">
        <f>"jiná právnická osoba (vč. obce a kraje)"</f>
        <v>jiná právnická osoba (vč. obce a kraje)</v>
      </c>
      <c r="J100" t="str">
        <f>"OPO"</f>
        <v>OPO</v>
      </c>
      <c r="K100" t="str">
        <f>"1"</f>
        <v>1</v>
      </c>
      <c r="L100" t="str">
        <f>"Vlastnické právo"</f>
        <v>Vlastnické právo</v>
      </c>
    </row>
    <row r="101" spans="1:12" x14ac:dyDescent="0.25">
      <c r="A101" t="str">
        <f>"Darkov"</f>
        <v>Darkov</v>
      </c>
      <c r="B101" t="str">
        <f>"606"</f>
        <v>606</v>
      </c>
      <c r="C101" t="str">
        <f>"2423"</f>
        <v>2423</v>
      </c>
      <c r="D101" t="str">
        <f>"lesní pozemek"</f>
        <v>lesní pozemek</v>
      </c>
      <c r="E101" t="str">
        <f>"les jiný než hospodářský"</f>
        <v>les jiný než hospodářský</v>
      </c>
      <c r="F101" t="str">
        <f>"10001"</f>
        <v>10001</v>
      </c>
      <c r="G101" t="str">
        <f>"Statutární město Karviná"</f>
        <v>Statutární město Karviná</v>
      </c>
      <c r="H101" t="str">
        <f>"297534"</f>
        <v>297534</v>
      </c>
      <c r="I101" t="str">
        <f>"jiná právnická osoba (vč. obce a kraje)"</f>
        <v>jiná právnická osoba (vč. obce a kraje)</v>
      </c>
      <c r="J101" t="str">
        <f>"OPO"</f>
        <v>OPO</v>
      </c>
      <c r="K101" t="str">
        <f>"1"</f>
        <v>1</v>
      </c>
      <c r="L101" t="str">
        <f>"Vlastnické právo"</f>
        <v>Vlastnické právo</v>
      </c>
    </row>
    <row r="102" spans="1:12" x14ac:dyDescent="0.25">
      <c r="A102" t="str">
        <f>"Darkov"</f>
        <v>Darkov</v>
      </c>
      <c r="B102" t="str">
        <f>"607"</f>
        <v>607</v>
      </c>
      <c r="C102" t="str">
        <f>"264"</f>
        <v>264</v>
      </c>
      <c r="D102" t="str">
        <f>"lesní pozemek"</f>
        <v>lesní pozemek</v>
      </c>
      <c r="E102" t="str">
        <f>"les jiný než hospodářský"</f>
        <v>les jiný než hospodářský</v>
      </c>
      <c r="F102" t="str">
        <f>"10001"</f>
        <v>10001</v>
      </c>
      <c r="G102" t="str">
        <f>"Statutární město Karviná"</f>
        <v>Statutární město Karviná</v>
      </c>
      <c r="H102" t="str">
        <f>"297534"</f>
        <v>297534</v>
      </c>
      <c r="I102" t="str">
        <f>"jiná právnická osoba (vč. obce a kraje)"</f>
        <v>jiná právnická osoba (vč. obce a kraje)</v>
      </c>
      <c r="J102" t="str">
        <f>"OPO"</f>
        <v>OPO</v>
      </c>
      <c r="K102" t="str">
        <f>"1"</f>
        <v>1</v>
      </c>
      <c r="L102" t="str">
        <f>"Vlastnické právo"</f>
        <v>Vlastnické právo</v>
      </c>
    </row>
    <row r="103" spans="1:12" x14ac:dyDescent="0.25">
      <c r="A103" t="str">
        <f>"Darkov"</f>
        <v>Darkov</v>
      </c>
      <c r="B103" t="str">
        <f>"608"</f>
        <v>608</v>
      </c>
      <c r="C103" t="str">
        <f>"216"</f>
        <v>216</v>
      </c>
      <c r="D103" t="str">
        <f>"lesní pozemek"</f>
        <v>lesní pozemek</v>
      </c>
      <c r="E103" t="str">
        <f>"les jiný než hospodářský"</f>
        <v>les jiný než hospodářský</v>
      </c>
      <c r="F103" t="str">
        <f>"10001"</f>
        <v>10001</v>
      </c>
      <c r="G103" t="str">
        <f>"Statutární město Karviná"</f>
        <v>Statutární město Karviná</v>
      </c>
      <c r="H103" t="str">
        <f>"297534"</f>
        <v>297534</v>
      </c>
      <c r="I103" t="str">
        <f>"jiná právnická osoba (vč. obce a kraje)"</f>
        <v>jiná právnická osoba (vč. obce a kraje)</v>
      </c>
      <c r="J103" t="str">
        <f>"OPO"</f>
        <v>OPO</v>
      </c>
      <c r="K103" t="str">
        <f>"1"</f>
        <v>1</v>
      </c>
      <c r="L103" t="str">
        <f>"Vlastnické právo"</f>
        <v>Vlastnické právo</v>
      </c>
    </row>
    <row r="104" spans="1:12" x14ac:dyDescent="0.25">
      <c r="A104" t="str">
        <f>"Darkov"</f>
        <v>Darkov</v>
      </c>
      <c r="B104" t="str">
        <f>"651"</f>
        <v>651</v>
      </c>
      <c r="C104" t="str">
        <f>"13358"</f>
        <v>13358</v>
      </c>
      <c r="D104" t="str">
        <f>"lesní pozemek"</f>
        <v>lesní pozemek</v>
      </c>
      <c r="E104" t="str">
        <f>"les jiný než hospodářský"</f>
        <v>les jiný než hospodářský</v>
      </c>
      <c r="F104" t="str">
        <f>"10001"</f>
        <v>10001</v>
      </c>
      <c r="G104" t="str">
        <f>"Statutární město Karviná"</f>
        <v>Statutární město Karviná</v>
      </c>
      <c r="H104" t="str">
        <f>"297534"</f>
        <v>297534</v>
      </c>
      <c r="I104" t="str">
        <f>"jiná právnická osoba (vč. obce a kraje)"</f>
        <v>jiná právnická osoba (vč. obce a kraje)</v>
      </c>
      <c r="J104" t="str">
        <f>"OPO"</f>
        <v>OPO</v>
      </c>
      <c r="K104" t="str">
        <f>"1"</f>
        <v>1</v>
      </c>
      <c r="L104" t="str">
        <f>"Vlastnické právo"</f>
        <v>Vlastnické právo</v>
      </c>
    </row>
    <row r="105" spans="1:12" x14ac:dyDescent="0.25">
      <c r="A105" t="str">
        <f>"Darkov"</f>
        <v>Darkov</v>
      </c>
      <c r="B105" t="str">
        <f>"657/1"</f>
        <v>657/1</v>
      </c>
      <c r="C105" t="str">
        <f>"1339"</f>
        <v>1339</v>
      </c>
      <c r="D105" t="str">
        <f>"lesní pozemek"</f>
        <v>lesní pozemek</v>
      </c>
      <c r="E105" t="str">
        <f>"les jiný než hospodářský"</f>
        <v>les jiný než hospodářský</v>
      </c>
      <c r="F105" t="str">
        <f>"10001"</f>
        <v>10001</v>
      </c>
      <c r="G105" t="str">
        <f>"Statutární město Karviná"</f>
        <v>Statutární město Karviná</v>
      </c>
      <c r="H105" t="str">
        <f>"297534"</f>
        <v>297534</v>
      </c>
      <c r="I105" t="str">
        <f>"jiná právnická osoba (vč. obce a kraje)"</f>
        <v>jiná právnická osoba (vč. obce a kraje)</v>
      </c>
      <c r="J105" t="str">
        <f>"OPO"</f>
        <v>OPO</v>
      </c>
      <c r="K105" t="str">
        <f>"1"</f>
        <v>1</v>
      </c>
      <c r="L105" t="str">
        <f>"Vlastnické právo"</f>
        <v>Vlastnické právo</v>
      </c>
    </row>
    <row r="106" spans="1:12" x14ac:dyDescent="0.25">
      <c r="A106" t="str">
        <f>"Darkov"</f>
        <v>Darkov</v>
      </c>
      <c r="B106" t="str">
        <f>"657/3"</f>
        <v>657/3</v>
      </c>
      <c r="C106" t="str">
        <f>"540"</f>
        <v>540</v>
      </c>
      <c r="D106" t="str">
        <f>"lesní pozemek"</f>
        <v>lesní pozemek</v>
      </c>
      <c r="E106" t="str">
        <f>"les jiný než hospodářský"</f>
        <v>les jiný než hospodářský</v>
      </c>
      <c r="F106" t="str">
        <f>"10001"</f>
        <v>10001</v>
      </c>
      <c r="G106" t="str">
        <f>"Statutární město Karviná"</f>
        <v>Statutární město Karviná</v>
      </c>
      <c r="H106" t="str">
        <f>"297534"</f>
        <v>297534</v>
      </c>
      <c r="I106" t="str">
        <f>"jiná právnická osoba (vč. obce a kraje)"</f>
        <v>jiná právnická osoba (vč. obce a kraje)</v>
      </c>
      <c r="J106" t="str">
        <f>"OPO"</f>
        <v>OPO</v>
      </c>
      <c r="K106" t="str">
        <f>"1"</f>
        <v>1</v>
      </c>
      <c r="L106" t="str">
        <f>"Vlastnické právo"</f>
        <v>Vlastnické právo</v>
      </c>
    </row>
    <row r="107" spans="1:12" x14ac:dyDescent="0.25">
      <c r="A107" t="str">
        <f>"Darkov"</f>
        <v>Darkov</v>
      </c>
      <c r="B107" t="str">
        <f>"657/6"</f>
        <v>657/6</v>
      </c>
      <c r="C107" t="str">
        <f>"1274"</f>
        <v>1274</v>
      </c>
      <c r="D107" t="str">
        <f>"lesní pozemek"</f>
        <v>lesní pozemek</v>
      </c>
      <c r="E107" t="str">
        <f>"les jiný než hospodářský"</f>
        <v>les jiný než hospodářský</v>
      </c>
      <c r="F107" t="str">
        <f>"10001"</f>
        <v>10001</v>
      </c>
      <c r="G107" t="str">
        <f>"Statutární město Karviná"</f>
        <v>Statutární město Karviná</v>
      </c>
      <c r="H107" t="str">
        <f>"297534"</f>
        <v>297534</v>
      </c>
      <c r="I107" t="str">
        <f>"jiná právnická osoba (vč. obce a kraje)"</f>
        <v>jiná právnická osoba (vč. obce a kraje)</v>
      </c>
      <c r="J107" t="str">
        <f>"OPO"</f>
        <v>OPO</v>
      </c>
      <c r="K107" t="str">
        <f>"1"</f>
        <v>1</v>
      </c>
      <c r="L107" t="str">
        <f>"Vlastnické právo"</f>
        <v>Vlastnické právo</v>
      </c>
    </row>
    <row r="108" spans="1:12" x14ac:dyDescent="0.25">
      <c r="A108" t="str">
        <f>"Darkov"</f>
        <v>Darkov</v>
      </c>
      <c r="B108" t="str">
        <f>"658"</f>
        <v>658</v>
      </c>
      <c r="C108" t="str">
        <f>"281"</f>
        <v>281</v>
      </c>
      <c r="D108" t="str">
        <f>"lesní pozemek"</f>
        <v>lesní pozemek</v>
      </c>
      <c r="E108" t="str">
        <f>"les jiný než hospodářský"</f>
        <v>les jiný než hospodářský</v>
      </c>
      <c r="F108" t="str">
        <f>"10001"</f>
        <v>10001</v>
      </c>
      <c r="G108" t="str">
        <f>"Statutární město Karviná"</f>
        <v>Statutární město Karviná</v>
      </c>
      <c r="H108" t="str">
        <f>"297534"</f>
        <v>297534</v>
      </c>
      <c r="I108" t="str">
        <f>"jiná právnická osoba (vč. obce a kraje)"</f>
        <v>jiná právnická osoba (vč. obce a kraje)</v>
      </c>
      <c r="J108" t="str">
        <f>"OPO"</f>
        <v>OPO</v>
      </c>
      <c r="K108" t="str">
        <f>"1"</f>
        <v>1</v>
      </c>
      <c r="L108" t="str">
        <f>"Vlastnické právo"</f>
        <v>Vlastnické právo</v>
      </c>
    </row>
    <row r="109" spans="1:12" x14ac:dyDescent="0.25">
      <c r="A109" t="str">
        <f>"Darkov"</f>
        <v>Darkov</v>
      </c>
      <c r="B109" t="str">
        <f>"659"</f>
        <v>659</v>
      </c>
      <c r="C109" t="str">
        <f>"359"</f>
        <v>359</v>
      </c>
      <c r="D109" t="str">
        <f>"lesní pozemek"</f>
        <v>lesní pozemek</v>
      </c>
      <c r="E109" t="str">
        <f>"les jiný než hospodářský"</f>
        <v>les jiný než hospodářský</v>
      </c>
      <c r="F109" t="str">
        <f>"10001"</f>
        <v>10001</v>
      </c>
      <c r="G109" t="str">
        <f>"Statutární město Karviná"</f>
        <v>Statutární město Karviná</v>
      </c>
      <c r="H109" t="str">
        <f>"297534"</f>
        <v>297534</v>
      </c>
      <c r="I109" t="str">
        <f>"jiná právnická osoba (vč. obce a kraje)"</f>
        <v>jiná právnická osoba (vč. obce a kraje)</v>
      </c>
      <c r="J109" t="str">
        <f>"OPO"</f>
        <v>OPO</v>
      </c>
      <c r="K109" t="str">
        <f>"1"</f>
        <v>1</v>
      </c>
      <c r="L109" t="str">
        <f>"Vlastnické právo"</f>
        <v>Vlastnické právo</v>
      </c>
    </row>
    <row r="110" spans="1:12" x14ac:dyDescent="0.25">
      <c r="A110" t="str">
        <f>"Darkov"</f>
        <v>Darkov</v>
      </c>
      <c r="B110" t="str">
        <f>"660/1"</f>
        <v>660/1</v>
      </c>
      <c r="C110" t="str">
        <f>"2073"</f>
        <v>2073</v>
      </c>
      <c r="D110" t="str">
        <f>"lesní pozemek"</f>
        <v>lesní pozemek</v>
      </c>
      <c r="E110" t="str">
        <f>""</f>
        <v/>
      </c>
      <c r="F110" t="str">
        <f>"10001"</f>
        <v>10001</v>
      </c>
      <c r="G110" t="str">
        <f>"Statutární město Karviná"</f>
        <v>Statutární město Karviná</v>
      </c>
      <c r="H110" t="str">
        <f>"297534"</f>
        <v>297534</v>
      </c>
      <c r="I110" t="str">
        <f>"jiná právnická osoba (vč. obce a kraje)"</f>
        <v>jiná právnická osoba (vč. obce a kraje)</v>
      </c>
      <c r="J110" t="str">
        <f>"OPO"</f>
        <v>OPO</v>
      </c>
      <c r="K110" t="str">
        <f>"1"</f>
        <v>1</v>
      </c>
      <c r="L110" t="str">
        <f>"Vlastnické právo"</f>
        <v>Vlastnické právo</v>
      </c>
    </row>
    <row r="111" spans="1:12" x14ac:dyDescent="0.25">
      <c r="A111" t="str">
        <f>"Darkov"</f>
        <v>Darkov</v>
      </c>
      <c r="B111" t="str">
        <f>"660/3"</f>
        <v>660/3</v>
      </c>
      <c r="C111" t="str">
        <f>"63"</f>
        <v>63</v>
      </c>
      <c r="D111" t="str">
        <f>"lesní pozemek"</f>
        <v>lesní pozemek</v>
      </c>
      <c r="E111" t="str">
        <f>""</f>
        <v/>
      </c>
      <c r="F111" t="str">
        <f>"10001"</f>
        <v>10001</v>
      </c>
      <c r="G111" t="str">
        <f>"Statutární město Karviná"</f>
        <v>Statutární město Karviná</v>
      </c>
      <c r="H111" t="str">
        <f>"297534"</f>
        <v>297534</v>
      </c>
      <c r="I111" t="str">
        <f>"jiná právnická osoba (vč. obce a kraje)"</f>
        <v>jiná právnická osoba (vč. obce a kraje)</v>
      </c>
      <c r="J111" t="str">
        <f>"OPO"</f>
        <v>OPO</v>
      </c>
      <c r="K111" t="str">
        <f>"1"</f>
        <v>1</v>
      </c>
      <c r="L111" t="str">
        <f>"Vlastnické právo"</f>
        <v>Vlastnické právo</v>
      </c>
    </row>
    <row r="112" spans="1:12" x14ac:dyDescent="0.25">
      <c r="A112" t="str">
        <f>"Darkov"</f>
        <v>Darkov</v>
      </c>
      <c r="B112" t="str">
        <f>"661"</f>
        <v>661</v>
      </c>
      <c r="C112" t="str">
        <f>"266"</f>
        <v>266</v>
      </c>
      <c r="D112" t="str">
        <f>"lesní pozemek"</f>
        <v>lesní pozemek</v>
      </c>
      <c r="E112" t="str">
        <f>"les jiný než hospodářský"</f>
        <v>les jiný než hospodářský</v>
      </c>
      <c r="F112" t="str">
        <f>"10001"</f>
        <v>10001</v>
      </c>
      <c r="G112" t="str">
        <f>"Statutární město Karviná"</f>
        <v>Statutární město Karviná</v>
      </c>
      <c r="H112" t="str">
        <f>"297534"</f>
        <v>297534</v>
      </c>
      <c r="I112" t="str">
        <f>"jiná právnická osoba (vč. obce a kraje)"</f>
        <v>jiná právnická osoba (vč. obce a kraje)</v>
      </c>
      <c r="J112" t="str">
        <f>"OPO"</f>
        <v>OPO</v>
      </c>
      <c r="K112" t="str">
        <f>"1"</f>
        <v>1</v>
      </c>
      <c r="L112" t="str">
        <f>"Vlastnické právo"</f>
        <v>Vlastnické právo</v>
      </c>
    </row>
    <row r="113" spans="1:12" x14ac:dyDescent="0.25">
      <c r="A113" t="str">
        <f>"Darkov"</f>
        <v>Darkov</v>
      </c>
      <c r="B113" t="str">
        <f>"662"</f>
        <v>662</v>
      </c>
      <c r="C113" t="str">
        <f>"1037"</f>
        <v>1037</v>
      </c>
      <c r="D113" t="str">
        <f>"lesní pozemek"</f>
        <v>lesní pozemek</v>
      </c>
      <c r="E113" t="str">
        <f>"les jiný než hospodářský"</f>
        <v>les jiný než hospodářský</v>
      </c>
      <c r="F113" t="str">
        <f>"10001"</f>
        <v>10001</v>
      </c>
      <c r="G113" t="str">
        <f>"Statutární město Karviná"</f>
        <v>Statutární město Karviná</v>
      </c>
      <c r="H113" t="str">
        <f>"297534"</f>
        <v>297534</v>
      </c>
      <c r="I113" t="str">
        <f>"jiná právnická osoba (vč. obce a kraje)"</f>
        <v>jiná právnická osoba (vč. obce a kraje)</v>
      </c>
      <c r="J113" t="str">
        <f>"OPO"</f>
        <v>OPO</v>
      </c>
      <c r="K113" t="str">
        <f>"1"</f>
        <v>1</v>
      </c>
      <c r="L113" t="str">
        <f>"Vlastnické právo"</f>
        <v>Vlastnické právo</v>
      </c>
    </row>
    <row r="114" spans="1:12" x14ac:dyDescent="0.25">
      <c r="A114" t="str">
        <f>"Darkov"</f>
        <v>Darkov</v>
      </c>
      <c r="B114" t="str">
        <f>"663"</f>
        <v>663</v>
      </c>
      <c r="C114" t="str">
        <f>"490"</f>
        <v>490</v>
      </c>
      <c r="D114" t="str">
        <f>"lesní pozemek"</f>
        <v>lesní pozemek</v>
      </c>
      <c r="E114" t="str">
        <f>"les jiný než hospodářský"</f>
        <v>les jiný než hospodářský</v>
      </c>
      <c r="F114" t="str">
        <f>"10001"</f>
        <v>10001</v>
      </c>
      <c r="G114" t="str">
        <f>"Statutární město Karviná"</f>
        <v>Statutární město Karviná</v>
      </c>
      <c r="H114" t="str">
        <f>"297534"</f>
        <v>297534</v>
      </c>
      <c r="I114" t="str">
        <f>"jiná právnická osoba (vč. obce a kraje)"</f>
        <v>jiná právnická osoba (vč. obce a kraje)</v>
      </c>
      <c r="J114" t="str">
        <f>"OPO"</f>
        <v>OPO</v>
      </c>
      <c r="K114" t="str">
        <f>"1"</f>
        <v>1</v>
      </c>
      <c r="L114" t="str">
        <f>"Vlastnické právo"</f>
        <v>Vlastnické právo</v>
      </c>
    </row>
    <row r="115" spans="1:12" x14ac:dyDescent="0.25">
      <c r="A115" t="str">
        <f>"Darkov"</f>
        <v>Darkov</v>
      </c>
      <c r="B115" t="str">
        <f>"664/1"</f>
        <v>664/1</v>
      </c>
      <c r="C115" t="str">
        <f>"907"</f>
        <v>907</v>
      </c>
      <c r="D115" t="str">
        <f>"lesní pozemek"</f>
        <v>lesní pozemek</v>
      </c>
      <c r="E115" t="str">
        <f>"les jiný než hospodářský"</f>
        <v>les jiný než hospodářský</v>
      </c>
      <c r="F115" t="str">
        <f>"10001"</f>
        <v>10001</v>
      </c>
      <c r="G115" t="str">
        <f>"Statutární město Karviná"</f>
        <v>Statutární město Karviná</v>
      </c>
      <c r="H115" t="str">
        <f>"297534"</f>
        <v>297534</v>
      </c>
      <c r="I115" t="str">
        <f>"jiná právnická osoba (vč. obce a kraje)"</f>
        <v>jiná právnická osoba (vč. obce a kraje)</v>
      </c>
      <c r="J115" t="str">
        <f>"OPO"</f>
        <v>OPO</v>
      </c>
      <c r="K115" t="str">
        <f>"1"</f>
        <v>1</v>
      </c>
      <c r="L115" t="str">
        <f>"Vlastnické právo"</f>
        <v>Vlastnické právo</v>
      </c>
    </row>
    <row r="116" spans="1:12" x14ac:dyDescent="0.25">
      <c r="A116" t="str">
        <f>"Darkov"</f>
        <v>Darkov</v>
      </c>
      <c r="B116" t="str">
        <f>"664/2"</f>
        <v>664/2</v>
      </c>
      <c r="C116" t="str">
        <f>"413"</f>
        <v>413</v>
      </c>
      <c r="D116" t="str">
        <f>"lesní pozemek"</f>
        <v>lesní pozemek</v>
      </c>
      <c r="E116" t="str">
        <f>"les jiný než hospodářský"</f>
        <v>les jiný než hospodářský</v>
      </c>
      <c r="F116" t="str">
        <f>"10001"</f>
        <v>10001</v>
      </c>
      <c r="G116" t="str">
        <f>"Statutární město Karviná"</f>
        <v>Statutární město Karviná</v>
      </c>
      <c r="H116" t="str">
        <f>"297534"</f>
        <v>297534</v>
      </c>
      <c r="I116" t="str">
        <f>"jiná právnická osoba (vč. obce a kraje)"</f>
        <v>jiná právnická osoba (vč. obce a kraje)</v>
      </c>
      <c r="J116" t="str">
        <f>"OPO"</f>
        <v>OPO</v>
      </c>
      <c r="K116" t="str">
        <f>"1"</f>
        <v>1</v>
      </c>
      <c r="L116" t="str">
        <f>"Vlastnické právo"</f>
        <v>Vlastnické právo</v>
      </c>
    </row>
    <row r="117" spans="1:12" x14ac:dyDescent="0.25">
      <c r="A117" t="str">
        <f>"Darkov"</f>
        <v>Darkov</v>
      </c>
      <c r="B117" t="str">
        <f>"665"</f>
        <v>665</v>
      </c>
      <c r="C117" t="str">
        <f>"1319"</f>
        <v>1319</v>
      </c>
      <c r="D117" t="str">
        <f>"lesní pozemek"</f>
        <v>lesní pozemek</v>
      </c>
      <c r="E117" t="str">
        <f>"les jiný než hospodářský"</f>
        <v>les jiný než hospodářský</v>
      </c>
      <c r="F117" t="str">
        <f>"10001"</f>
        <v>10001</v>
      </c>
      <c r="G117" t="str">
        <f>"Statutární město Karviná"</f>
        <v>Statutární město Karviná</v>
      </c>
      <c r="H117" t="str">
        <f>"297534"</f>
        <v>297534</v>
      </c>
      <c r="I117" t="str">
        <f>"jiná právnická osoba (vč. obce a kraje)"</f>
        <v>jiná právnická osoba (vč. obce a kraje)</v>
      </c>
      <c r="J117" t="str">
        <f>"OPO"</f>
        <v>OPO</v>
      </c>
      <c r="K117" t="str">
        <f>"1"</f>
        <v>1</v>
      </c>
      <c r="L117" t="str">
        <f>"Vlastnické právo"</f>
        <v>Vlastnické právo</v>
      </c>
    </row>
    <row r="118" spans="1:12" x14ac:dyDescent="0.25">
      <c r="A118" t="str">
        <f>"Darkov"</f>
        <v>Darkov</v>
      </c>
      <c r="B118" t="str">
        <f>"666"</f>
        <v>666</v>
      </c>
      <c r="C118" t="str">
        <f>"226"</f>
        <v>226</v>
      </c>
      <c r="D118" t="str">
        <f>"lesní pozemek"</f>
        <v>lesní pozemek</v>
      </c>
      <c r="E118" t="str">
        <f>"les jiný než hospodářský"</f>
        <v>les jiný než hospodářský</v>
      </c>
      <c r="F118" t="str">
        <f>"10001"</f>
        <v>10001</v>
      </c>
      <c r="G118" t="str">
        <f>"Statutární město Karviná"</f>
        <v>Statutární město Karviná</v>
      </c>
      <c r="H118" t="str">
        <f>"297534"</f>
        <v>297534</v>
      </c>
      <c r="I118" t="str">
        <f>"jiná právnická osoba (vč. obce a kraje)"</f>
        <v>jiná právnická osoba (vč. obce a kraje)</v>
      </c>
      <c r="J118" t="str">
        <f>"OPO"</f>
        <v>OPO</v>
      </c>
      <c r="K118" t="str">
        <f>"1"</f>
        <v>1</v>
      </c>
      <c r="L118" t="str">
        <f>"Vlastnické právo"</f>
        <v>Vlastnické právo</v>
      </c>
    </row>
    <row r="119" spans="1:12" x14ac:dyDescent="0.25">
      <c r="A119" t="str">
        <f>"Darkov"</f>
        <v>Darkov</v>
      </c>
      <c r="B119" t="str">
        <f>"667"</f>
        <v>667</v>
      </c>
      <c r="C119" t="str">
        <f>"911"</f>
        <v>911</v>
      </c>
      <c r="D119" t="str">
        <f>"lesní pozemek"</f>
        <v>lesní pozemek</v>
      </c>
      <c r="E119" t="str">
        <f>"les jiný než hospodářský"</f>
        <v>les jiný než hospodářský</v>
      </c>
      <c r="F119" t="str">
        <f>"10001"</f>
        <v>10001</v>
      </c>
      <c r="G119" t="str">
        <f>"Statutární město Karviná"</f>
        <v>Statutární město Karviná</v>
      </c>
      <c r="H119" t="str">
        <f>"297534"</f>
        <v>297534</v>
      </c>
      <c r="I119" t="str">
        <f>"jiná právnická osoba (vč. obce a kraje)"</f>
        <v>jiná právnická osoba (vč. obce a kraje)</v>
      </c>
      <c r="J119" t="str">
        <f>"OPO"</f>
        <v>OPO</v>
      </c>
      <c r="K119" t="str">
        <f>"1"</f>
        <v>1</v>
      </c>
      <c r="L119" t="str">
        <f>"Vlastnické právo"</f>
        <v>Vlastnické právo</v>
      </c>
    </row>
    <row r="120" spans="1:12" x14ac:dyDescent="0.25">
      <c r="A120" t="str">
        <f>"Darkov"</f>
        <v>Darkov</v>
      </c>
      <c r="B120" t="str">
        <f>"668"</f>
        <v>668</v>
      </c>
      <c r="C120" t="str">
        <f>"175"</f>
        <v>175</v>
      </c>
      <c r="D120" t="str">
        <f>"lesní pozemek"</f>
        <v>lesní pozemek</v>
      </c>
      <c r="E120" t="str">
        <f>"les jiný než hospodářský"</f>
        <v>les jiný než hospodářský</v>
      </c>
      <c r="F120" t="str">
        <f>"10001"</f>
        <v>10001</v>
      </c>
      <c r="G120" t="str">
        <f>"Statutární město Karviná"</f>
        <v>Statutární město Karviná</v>
      </c>
      <c r="H120" t="str">
        <f>"297534"</f>
        <v>297534</v>
      </c>
      <c r="I120" t="str">
        <f>"jiná právnická osoba (vč. obce a kraje)"</f>
        <v>jiná právnická osoba (vč. obce a kraje)</v>
      </c>
      <c r="J120" t="str">
        <f>"OPO"</f>
        <v>OPO</v>
      </c>
      <c r="K120" t="str">
        <f>"1"</f>
        <v>1</v>
      </c>
      <c r="L120" t="str">
        <f>"Vlastnické právo"</f>
        <v>Vlastnické právo</v>
      </c>
    </row>
    <row r="121" spans="1:12" x14ac:dyDescent="0.25">
      <c r="A121" t="str">
        <f>"Darkov"</f>
        <v>Darkov</v>
      </c>
      <c r="B121" t="str">
        <f>"669"</f>
        <v>669</v>
      </c>
      <c r="C121" t="str">
        <f>"1026"</f>
        <v>1026</v>
      </c>
      <c r="D121" t="str">
        <f>"lesní pozemek"</f>
        <v>lesní pozemek</v>
      </c>
      <c r="E121" t="str">
        <f>""</f>
        <v/>
      </c>
      <c r="F121" t="str">
        <f>"10001"</f>
        <v>10001</v>
      </c>
      <c r="G121" t="str">
        <f>"Statutární město Karviná"</f>
        <v>Statutární město Karviná</v>
      </c>
      <c r="H121" t="str">
        <f>"297534"</f>
        <v>297534</v>
      </c>
      <c r="I121" t="str">
        <f>"jiná právnická osoba (vč. obce a kraje)"</f>
        <v>jiná právnická osoba (vč. obce a kraje)</v>
      </c>
      <c r="J121" t="str">
        <f>"OPO"</f>
        <v>OPO</v>
      </c>
      <c r="K121" t="str">
        <f>"1"</f>
        <v>1</v>
      </c>
      <c r="L121" t="str">
        <f>"Vlastnické právo"</f>
        <v>Vlastnické právo</v>
      </c>
    </row>
    <row r="122" spans="1:12" x14ac:dyDescent="0.25">
      <c r="A122" t="str">
        <f>"Darkov"</f>
        <v>Darkov</v>
      </c>
      <c r="B122" t="str">
        <f>"670"</f>
        <v>670</v>
      </c>
      <c r="C122" t="str">
        <f>"1053"</f>
        <v>1053</v>
      </c>
      <c r="D122" t="str">
        <f>"lesní pozemek"</f>
        <v>lesní pozemek</v>
      </c>
      <c r="E122" t="str">
        <f>"les jiný než hospodářský"</f>
        <v>les jiný než hospodářský</v>
      </c>
      <c r="F122" t="str">
        <f>"10001"</f>
        <v>10001</v>
      </c>
      <c r="G122" t="str">
        <f>"Statutární město Karviná"</f>
        <v>Statutární město Karviná</v>
      </c>
      <c r="H122" t="str">
        <f>"297534"</f>
        <v>297534</v>
      </c>
      <c r="I122" t="str">
        <f>"jiná právnická osoba (vč. obce a kraje)"</f>
        <v>jiná právnická osoba (vč. obce a kraje)</v>
      </c>
      <c r="J122" t="str">
        <f>"OPO"</f>
        <v>OPO</v>
      </c>
      <c r="K122" t="str">
        <f>"1"</f>
        <v>1</v>
      </c>
      <c r="L122" t="str">
        <f>"Vlastnické právo"</f>
        <v>Vlastnické právo</v>
      </c>
    </row>
    <row r="123" spans="1:12" x14ac:dyDescent="0.25">
      <c r="A123" t="str">
        <f>"Darkov"</f>
        <v>Darkov</v>
      </c>
      <c r="B123" t="str">
        <f>"671"</f>
        <v>671</v>
      </c>
      <c r="C123" t="str">
        <f>"143"</f>
        <v>143</v>
      </c>
      <c r="D123" t="str">
        <f>"lesní pozemek"</f>
        <v>lesní pozemek</v>
      </c>
      <c r="E123" t="str">
        <f>"les jiný než hospodářský"</f>
        <v>les jiný než hospodářský</v>
      </c>
      <c r="F123" t="str">
        <f>"10001"</f>
        <v>10001</v>
      </c>
      <c r="G123" t="str">
        <f>"Statutární město Karviná"</f>
        <v>Statutární město Karviná</v>
      </c>
      <c r="H123" t="str">
        <f>"297534"</f>
        <v>297534</v>
      </c>
      <c r="I123" t="str">
        <f>"jiná právnická osoba (vč. obce a kraje)"</f>
        <v>jiná právnická osoba (vč. obce a kraje)</v>
      </c>
      <c r="J123" t="str">
        <f>"OPO"</f>
        <v>OPO</v>
      </c>
      <c r="K123" t="str">
        <f>"1"</f>
        <v>1</v>
      </c>
      <c r="L123" t="str">
        <f>"Vlastnické právo"</f>
        <v>Vlastnické právo</v>
      </c>
    </row>
    <row r="124" spans="1:12" x14ac:dyDescent="0.25">
      <c r="A124" t="str">
        <f>"Darkov"</f>
        <v>Darkov</v>
      </c>
      <c r="B124" t="str">
        <f>"672"</f>
        <v>672</v>
      </c>
      <c r="C124" t="str">
        <f>"1108"</f>
        <v>1108</v>
      </c>
      <c r="D124" t="str">
        <f>"lesní pozemek"</f>
        <v>lesní pozemek</v>
      </c>
      <c r="E124" t="str">
        <f>"les jiný než hospodářský"</f>
        <v>les jiný než hospodářský</v>
      </c>
      <c r="F124" t="str">
        <f>"10001"</f>
        <v>10001</v>
      </c>
      <c r="G124" t="str">
        <f>"Statutární město Karviná"</f>
        <v>Statutární město Karviná</v>
      </c>
      <c r="H124" t="str">
        <f>"297534"</f>
        <v>297534</v>
      </c>
      <c r="I124" t="str">
        <f>"jiná právnická osoba (vč. obce a kraje)"</f>
        <v>jiná právnická osoba (vč. obce a kraje)</v>
      </c>
      <c r="J124" t="str">
        <f>"OPO"</f>
        <v>OPO</v>
      </c>
      <c r="K124" t="str">
        <f>"1"</f>
        <v>1</v>
      </c>
      <c r="L124" t="str">
        <f>"Vlastnické právo"</f>
        <v>Vlastnické právo</v>
      </c>
    </row>
    <row r="125" spans="1:12" x14ac:dyDescent="0.25">
      <c r="A125" t="str">
        <f>"Darkov"</f>
        <v>Darkov</v>
      </c>
      <c r="B125" t="str">
        <f>"673"</f>
        <v>673</v>
      </c>
      <c r="C125" t="str">
        <f>"354"</f>
        <v>354</v>
      </c>
      <c r="D125" t="str">
        <f>"lesní pozemek"</f>
        <v>lesní pozemek</v>
      </c>
      <c r="E125" t="str">
        <f>"les jiný než hospodářský"</f>
        <v>les jiný než hospodářský</v>
      </c>
      <c r="F125" t="str">
        <f>"10001"</f>
        <v>10001</v>
      </c>
      <c r="G125" t="str">
        <f>"Statutární město Karviná"</f>
        <v>Statutární město Karviná</v>
      </c>
      <c r="H125" t="str">
        <f>"297534"</f>
        <v>297534</v>
      </c>
      <c r="I125" t="str">
        <f>"jiná právnická osoba (vč. obce a kraje)"</f>
        <v>jiná právnická osoba (vč. obce a kraje)</v>
      </c>
      <c r="J125" t="str">
        <f>"OPO"</f>
        <v>OPO</v>
      </c>
      <c r="K125" t="str">
        <f>"1"</f>
        <v>1</v>
      </c>
      <c r="L125" t="str">
        <f>"Vlastnické právo"</f>
        <v>Vlastnické právo</v>
      </c>
    </row>
    <row r="126" spans="1:12" x14ac:dyDescent="0.25">
      <c r="A126" t="str">
        <f>"Darkov"</f>
        <v>Darkov</v>
      </c>
      <c r="B126" t="str">
        <f>"674"</f>
        <v>674</v>
      </c>
      <c r="C126" t="str">
        <f>"213"</f>
        <v>213</v>
      </c>
      <c r="D126" t="str">
        <f>"lesní pozemek"</f>
        <v>lesní pozemek</v>
      </c>
      <c r="E126" t="str">
        <f>"les jiný než hospodářský"</f>
        <v>les jiný než hospodářský</v>
      </c>
      <c r="F126" t="str">
        <f>"10001"</f>
        <v>10001</v>
      </c>
      <c r="G126" t="str">
        <f>"Statutární město Karviná"</f>
        <v>Statutární město Karviná</v>
      </c>
      <c r="H126" t="str">
        <f>"297534"</f>
        <v>297534</v>
      </c>
      <c r="I126" t="str">
        <f>"jiná právnická osoba (vč. obce a kraje)"</f>
        <v>jiná právnická osoba (vč. obce a kraje)</v>
      </c>
      <c r="J126" t="str">
        <f>"OPO"</f>
        <v>OPO</v>
      </c>
      <c r="K126" t="str">
        <f>"1"</f>
        <v>1</v>
      </c>
      <c r="L126" t="str">
        <f>"Vlastnické právo"</f>
        <v>Vlastnické právo</v>
      </c>
    </row>
    <row r="127" spans="1:12" x14ac:dyDescent="0.25">
      <c r="A127" t="str">
        <f>"Darkov"</f>
        <v>Darkov</v>
      </c>
      <c r="B127" t="str">
        <f>"675"</f>
        <v>675</v>
      </c>
      <c r="C127" t="str">
        <f>"1401"</f>
        <v>1401</v>
      </c>
      <c r="D127" t="str">
        <f>"lesní pozemek"</f>
        <v>lesní pozemek</v>
      </c>
      <c r="E127" t="str">
        <f>"les jiný než hospodářský"</f>
        <v>les jiný než hospodářský</v>
      </c>
      <c r="F127" t="str">
        <f>"10001"</f>
        <v>10001</v>
      </c>
      <c r="G127" t="str">
        <f>"Statutární město Karviná"</f>
        <v>Statutární město Karviná</v>
      </c>
      <c r="H127" t="str">
        <f>"297534"</f>
        <v>297534</v>
      </c>
      <c r="I127" t="str">
        <f>"jiná právnická osoba (vč. obce a kraje)"</f>
        <v>jiná právnická osoba (vč. obce a kraje)</v>
      </c>
      <c r="J127" t="str">
        <f>"OPO"</f>
        <v>OPO</v>
      </c>
      <c r="K127" t="str">
        <f>"1"</f>
        <v>1</v>
      </c>
      <c r="L127" t="str">
        <f>"Vlastnické právo"</f>
        <v>Vlastnické právo</v>
      </c>
    </row>
    <row r="128" spans="1:12" x14ac:dyDescent="0.25">
      <c r="A128" t="str">
        <f>"Darkov"</f>
        <v>Darkov</v>
      </c>
      <c r="B128" t="str">
        <f>"676"</f>
        <v>676</v>
      </c>
      <c r="C128" t="str">
        <f>"344"</f>
        <v>344</v>
      </c>
      <c r="D128" t="str">
        <f>"lesní pozemek"</f>
        <v>lesní pozemek</v>
      </c>
      <c r="E128" t="str">
        <f>"les jiný než hospodářský"</f>
        <v>les jiný než hospodářský</v>
      </c>
      <c r="F128" t="str">
        <f>"10001"</f>
        <v>10001</v>
      </c>
      <c r="G128" t="str">
        <f>"Statutární město Karviná"</f>
        <v>Statutární město Karviná</v>
      </c>
      <c r="H128" t="str">
        <f>"297534"</f>
        <v>297534</v>
      </c>
      <c r="I128" t="str">
        <f>"jiná právnická osoba (vč. obce a kraje)"</f>
        <v>jiná právnická osoba (vč. obce a kraje)</v>
      </c>
      <c r="J128" t="str">
        <f>"OPO"</f>
        <v>OPO</v>
      </c>
      <c r="K128" t="str">
        <f>"1"</f>
        <v>1</v>
      </c>
      <c r="L128" t="str">
        <f>"Vlastnické právo"</f>
        <v>Vlastnické právo</v>
      </c>
    </row>
    <row r="129" spans="1:12" x14ac:dyDescent="0.25">
      <c r="A129" t="str">
        <f>"Darkov"</f>
        <v>Darkov</v>
      </c>
      <c r="B129" t="str">
        <f>"677"</f>
        <v>677</v>
      </c>
      <c r="C129" t="str">
        <f>"255"</f>
        <v>255</v>
      </c>
      <c r="D129" t="str">
        <f>"lesní pozemek"</f>
        <v>lesní pozemek</v>
      </c>
      <c r="E129" t="str">
        <f>"les jiný než hospodářský"</f>
        <v>les jiný než hospodářský</v>
      </c>
      <c r="F129" t="str">
        <f>"10001"</f>
        <v>10001</v>
      </c>
      <c r="G129" t="str">
        <f>"Statutární město Karviná"</f>
        <v>Statutární město Karviná</v>
      </c>
      <c r="H129" t="str">
        <f>"297534"</f>
        <v>297534</v>
      </c>
      <c r="I129" t="str">
        <f>"jiná právnická osoba (vč. obce a kraje)"</f>
        <v>jiná právnická osoba (vč. obce a kraje)</v>
      </c>
      <c r="J129" t="str">
        <f>"OPO"</f>
        <v>OPO</v>
      </c>
      <c r="K129" t="str">
        <f>"1"</f>
        <v>1</v>
      </c>
      <c r="L129" t="str">
        <f>"Vlastnické právo"</f>
        <v>Vlastnické právo</v>
      </c>
    </row>
    <row r="130" spans="1:12" x14ac:dyDescent="0.25">
      <c r="A130" t="str">
        <f>"Darkov"</f>
        <v>Darkov</v>
      </c>
      <c r="B130" t="str">
        <f>"678/1"</f>
        <v>678/1</v>
      </c>
      <c r="C130" t="str">
        <f>"286"</f>
        <v>286</v>
      </c>
      <c r="D130" t="str">
        <f>"lesní pozemek"</f>
        <v>lesní pozemek</v>
      </c>
      <c r="E130" t="str">
        <f>"les jiný než hospodářský"</f>
        <v>les jiný než hospodářský</v>
      </c>
      <c r="F130" t="str">
        <f>"10001"</f>
        <v>10001</v>
      </c>
      <c r="G130" t="str">
        <f>"Statutární město Karviná"</f>
        <v>Statutární město Karviná</v>
      </c>
      <c r="H130" t="str">
        <f>"297534"</f>
        <v>297534</v>
      </c>
      <c r="I130" t="str">
        <f>"jiná právnická osoba (vč. obce a kraje)"</f>
        <v>jiná právnická osoba (vč. obce a kraje)</v>
      </c>
      <c r="J130" t="str">
        <f>"OPO"</f>
        <v>OPO</v>
      </c>
      <c r="K130" t="str">
        <f>"1"</f>
        <v>1</v>
      </c>
      <c r="L130" t="str">
        <f>"Vlastnické právo"</f>
        <v>Vlastnické právo</v>
      </c>
    </row>
    <row r="131" spans="1:12" x14ac:dyDescent="0.25">
      <c r="A131" t="str">
        <f>"Darkov"</f>
        <v>Darkov</v>
      </c>
      <c r="B131" t="str">
        <f>"678/2"</f>
        <v>678/2</v>
      </c>
      <c r="C131" t="str">
        <f>"316"</f>
        <v>316</v>
      </c>
      <c r="D131" t="str">
        <f>"lesní pozemek"</f>
        <v>lesní pozemek</v>
      </c>
      <c r="E131" t="str">
        <f>"les jiný než hospodářský"</f>
        <v>les jiný než hospodářský</v>
      </c>
      <c r="F131" t="str">
        <f>"10001"</f>
        <v>10001</v>
      </c>
      <c r="G131" t="str">
        <f>"Statutární město Karviná"</f>
        <v>Statutární město Karviná</v>
      </c>
      <c r="H131" t="str">
        <f>"297534"</f>
        <v>297534</v>
      </c>
      <c r="I131" t="str">
        <f>"jiná právnická osoba (vč. obce a kraje)"</f>
        <v>jiná právnická osoba (vč. obce a kraje)</v>
      </c>
      <c r="J131" t="str">
        <f>"OPO"</f>
        <v>OPO</v>
      </c>
      <c r="K131" t="str">
        <f>"1"</f>
        <v>1</v>
      </c>
      <c r="L131" t="str">
        <f>"Vlastnické právo"</f>
        <v>Vlastnické právo</v>
      </c>
    </row>
    <row r="132" spans="1:12" x14ac:dyDescent="0.25">
      <c r="A132" t="str">
        <f>"Darkov"</f>
        <v>Darkov</v>
      </c>
      <c r="B132" t="str">
        <f>"679"</f>
        <v>679</v>
      </c>
      <c r="C132" t="str">
        <f>"1180"</f>
        <v>1180</v>
      </c>
      <c r="D132" t="str">
        <f>"lesní pozemek"</f>
        <v>lesní pozemek</v>
      </c>
      <c r="E132" t="str">
        <f>"les jiný než hospodářský"</f>
        <v>les jiný než hospodářský</v>
      </c>
      <c r="F132" t="str">
        <f>"10001"</f>
        <v>10001</v>
      </c>
      <c r="G132" t="str">
        <f>"Statutární město Karviná"</f>
        <v>Statutární město Karviná</v>
      </c>
      <c r="H132" t="str">
        <f>"297534"</f>
        <v>297534</v>
      </c>
      <c r="I132" t="str">
        <f>"jiná právnická osoba (vč. obce a kraje)"</f>
        <v>jiná právnická osoba (vč. obce a kraje)</v>
      </c>
      <c r="J132" t="str">
        <f>"OPO"</f>
        <v>OPO</v>
      </c>
      <c r="K132" t="str">
        <f>"1"</f>
        <v>1</v>
      </c>
      <c r="L132" t="str">
        <f>"Vlastnické právo"</f>
        <v>Vlastnické právo</v>
      </c>
    </row>
    <row r="133" spans="1:12" x14ac:dyDescent="0.25">
      <c r="A133" t="str">
        <f>"Darkov"</f>
        <v>Darkov</v>
      </c>
      <c r="B133" t="str">
        <f>"680/1"</f>
        <v>680/1</v>
      </c>
      <c r="C133" t="str">
        <f>"1134"</f>
        <v>1134</v>
      </c>
      <c r="D133" t="str">
        <f>"lesní pozemek"</f>
        <v>lesní pozemek</v>
      </c>
      <c r="E133" t="str">
        <f>"les jiný než hospodářský"</f>
        <v>les jiný než hospodářský</v>
      </c>
      <c r="F133" t="str">
        <f>"10001"</f>
        <v>10001</v>
      </c>
      <c r="G133" t="str">
        <f>"Statutární město Karviná"</f>
        <v>Statutární město Karviná</v>
      </c>
      <c r="H133" t="str">
        <f>"297534"</f>
        <v>297534</v>
      </c>
      <c r="I133" t="str">
        <f>"jiná právnická osoba (vč. obce a kraje)"</f>
        <v>jiná právnická osoba (vč. obce a kraje)</v>
      </c>
      <c r="J133" t="str">
        <f>"OPO"</f>
        <v>OPO</v>
      </c>
      <c r="K133" t="str">
        <f>"1"</f>
        <v>1</v>
      </c>
      <c r="L133" t="str">
        <f>"Vlastnické právo"</f>
        <v>Vlastnické právo</v>
      </c>
    </row>
    <row r="134" spans="1:12" x14ac:dyDescent="0.25">
      <c r="A134" t="str">
        <f>"Darkov"</f>
        <v>Darkov</v>
      </c>
      <c r="B134" t="str">
        <f>"680/2"</f>
        <v>680/2</v>
      </c>
      <c r="C134" t="str">
        <f>"63"</f>
        <v>63</v>
      </c>
      <c r="D134" t="str">
        <f>"lesní pozemek"</f>
        <v>lesní pozemek</v>
      </c>
      <c r="E134" t="str">
        <f>"les jiný než hospodářský"</f>
        <v>les jiný než hospodářský</v>
      </c>
      <c r="F134" t="str">
        <f>"10001"</f>
        <v>10001</v>
      </c>
      <c r="G134" t="str">
        <f>"Statutární město Karviná"</f>
        <v>Statutární město Karviná</v>
      </c>
      <c r="H134" t="str">
        <f>"297534"</f>
        <v>297534</v>
      </c>
      <c r="I134" t="str">
        <f>"jiná právnická osoba (vč. obce a kraje)"</f>
        <v>jiná právnická osoba (vč. obce a kraje)</v>
      </c>
      <c r="J134" t="str">
        <f>"OPO"</f>
        <v>OPO</v>
      </c>
      <c r="K134" t="str">
        <f>"1"</f>
        <v>1</v>
      </c>
      <c r="L134" t="str">
        <f>"Vlastnické právo"</f>
        <v>Vlastnické právo</v>
      </c>
    </row>
    <row r="135" spans="1:12" x14ac:dyDescent="0.25">
      <c r="A135" t="str">
        <f>"Darkov"</f>
        <v>Darkov</v>
      </c>
      <c r="B135" t="str">
        <f>"681"</f>
        <v>681</v>
      </c>
      <c r="C135" t="str">
        <f>"266"</f>
        <v>266</v>
      </c>
      <c r="D135" t="str">
        <f>"lesní pozemek"</f>
        <v>lesní pozemek</v>
      </c>
      <c r="E135" t="str">
        <f>"les jiný než hospodářský"</f>
        <v>les jiný než hospodářský</v>
      </c>
      <c r="F135" t="str">
        <f>"10001"</f>
        <v>10001</v>
      </c>
      <c r="G135" t="str">
        <f>"Statutární město Karviná"</f>
        <v>Statutární město Karviná</v>
      </c>
      <c r="H135" t="str">
        <f>"297534"</f>
        <v>297534</v>
      </c>
      <c r="I135" t="str">
        <f>"jiná právnická osoba (vč. obce a kraje)"</f>
        <v>jiná právnická osoba (vč. obce a kraje)</v>
      </c>
      <c r="J135" t="str">
        <f>"OPO"</f>
        <v>OPO</v>
      </c>
      <c r="K135" t="str">
        <f>"1"</f>
        <v>1</v>
      </c>
      <c r="L135" t="str">
        <f>"Vlastnické právo"</f>
        <v>Vlastnické právo</v>
      </c>
    </row>
    <row r="136" spans="1:12" x14ac:dyDescent="0.25">
      <c r="A136" t="str">
        <f>"Darkov"</f>
        <v>Darkov</v>
      </c>
      <c r="B136" t="str">
        <f>"682"</f>
        <v>682</v>
      </c>
      <c r="C136" t="str">
        <f>"896"</f>
        <v>896</v>
      </c>
      <c r="D136" t="str">
        <f>"lesní pozemek"</f>
        <v>lesní pozemek</v>
      </c>
      <c r="E136" t="str">
        <f>"les jiný než hospodářský"</f>
        <v>les jiný než hospodářský</v>
      </c>
      <c r="F136" t="str">
        <f>"10001"</f>
        <v>10001</v>
      </c>
      <c r="G136" t="str">
        <f>"Statutární město Karviná"</f>
        <v>Statutární město Karviná</v>
      </c>
      <c r="H136" t="str">
        <f>"297534"</f>
        <v>297534</v>
      </c>
      <c r="I136" t="str">
        <f>"jiná právnická osoba (vč. obce a kraje)"</f>
        <v>jiná právnická osoba (vč. obce a kraje)</v>
      </c>
      <c r="J136" t="str">
        <f>"OPO"</f>
        <v>OPO</v>
      </c>
      <c r="K136" t="str">
        <f>"1"</f>
        <v>1</v>
      </c>
      <c r="L136" t="str">
        <f>"Vlastnické právo"</f>
        <v>Vlastnické právo</v>
      </c>
    </row>
    <row r="137" spans="1:12" x14ac:dyDescent="0.25">
      <c r="A137" t="str">
        <f>"Darkov"</f>
        <v>Darkov</v>
      </c>
      <c r="B137" t="str">
        <f>"683"</f>
        <v>683</v>
      </c>
      <c r="C137" t="str">
        <f>"664"</f>
        <v>664</v>
      </c>
      <c r="D137" t="str">
        <f>"lesní pozemek"</f>
        <v>lesní pozemek</v>
      </c>
      <c r="E137" t="str">
        <f>"les jiný než hospodářský"</f>
        <v>les jiný než hospodářský</v>
      </c>
      <c r="F137" t="str">
        <f>"10001"</f>
        <v>10001</v>
      </c>
      <c r="G137" t="str">
        <f>"Statutární město Karviná"</f>
        <v>Statutární město Karviná</v>
      </c>
      <c r="H137" t="str">
        <f>"297534"</f>
        <v>297534</v>
      </c>
      <c r="I137" t="str">
        <f>"jiná právnická osoba (vč. obce a kraje)"</f>
        <v>jiná právnická osoba (vč. obce a kraje)</v>
      </c>
      <c r="J137" t="str">
        <f>"OPO"</f>
        <v>OPO</v>
      </c>
      <c r="K137" t="str">
        <f>"1"</f>
        <v>1</v>
      </c>
      <c r="L137" t="str">
        <f>"Vlastnické právo"</f>
        <v>Vlastnické právo</v>
      </c>
    </row>
    <row r="138" spans="1:12" x14ac:dyDescent="0.25">
      <c r="A138" t="str">
        <f>"Darkov"</f>
        <v>Darkov</v>
      </c>
      <c r="B138" t="str">
        <f>"684"</f>
        <v>684</v>
      </c>
      <c r="C138" t="str">
        <f>"140"</f>
        <v>140</v>
      </c>
      <c r="D138" t="str">
        <f>"lesní pozemek"</f>
        <v>lesní pozemek</v>
      </c>
      <c r="E138" t="str">
        <f>"les jiný než hospodářský"</f>
        <v>les jiný než hospodářský</v>
      </c>
      <c r="F138" t="str">
        <f>"10001"</f>
        <v>10001</v>
      </c>
      <c r="G138" t="str">
        <f>"Statutární město Karviná"</f>
        <v>Statutární město Karviná</v>
      </c>
      <c r="H138" t="str">
        <f>"297534"</f>
        <v>297534</v>
      </c>
      <c r="I138" t="str">
        <f>"jiná právnická osoba (vč. obce a kraje)"</f>
        <v>jiná právnická osoba (vč. obce a kraje)</v>
      </c>
      <c r="J138" t="str">
        <f>"OPO"</f>
        <v>OPO</v>
      </c>
      <c r="K138" t="str">
        <f>"1"</f>
        <v>1</v>
      </c>
      <c r="L138" t="str">
        <f>"Vlastnické právo"</f>
        <v>Vlastnické právo</v>
      </c>
    </row>
    <row r="139" spans="1:12" x14ac:dyDescent="0.25">
      <c r="A139" t="str">
        <f>"Darkov"</f>
        <v>Darkov</v>
      </c>
      <c r="B139" t="str">
        <f>"685"</f>
        <v>685</v>
      </c>
      <c r="C139" t="str">
        <f>"362"</f>
        <v>362</v>
      </c>
      <c r="D139" t="str">
        <f>"lesní pozemek"</f>
        <v>lesní pozemek</v>
      </c>
      <c r="E139" t="str">
        <f>"les jiný než hospodářský"</f>
        <v>les jiný než hospodářský</v>
      </c>
      <c r="F139" t="str">
        <f>"10001"</f>
        <v>10001</v>
      </c>
      <c r="G139" t="str">
        <f>"Statutární město Karviná"</f>
        <v>Statutární město Karviná</v>
      </c>
      <c r="H139" t="str">
        <f>"297534"</f>
        <v>297534</v>
      </c>
      <c r="I139" t="str">
        <f>"jiná právnická osoba (vč. obce a kraje)"</f>
        <v>jiná právnická osoba (vč. obce a kraje)</v>
      </c>
      <c r="J139" t="str">
        <f>"OPO"</f>
        <v>OPO</v>
      </c>
      <c r="K139" t="str">
        <f>"1"</f>
        <v>1</v>
      </c>
      <c r="L139" t="str">
        <f>"Vlastnické právo"</f>
        <v>Vlastnické právo</v>
      </c>
    </row>
    <row r="140" spans="1:12" x14ac:dyDescent="0.25">
      <c r="A140" t="str">
        <f>"Darkov"</f>
        <v>Darkov</v>
      </c>
      <c r="B140" t="str">
        <f>"686"</f>
        <v>686</v>
      </c>
      <c r="C140" t="str">
        <f>"297"</f>
        <v>297</v>
      </c>
      <c r="D140" t="str">
        <f>"lesní pozemek"</f>
        <v>lesní pozemek</v>
      </c>
      <c r="E140" t="str">
        <f>"les jiný než hospodářský"</f>
        <v>les jiný než hospodářský</v>
      </c>
      <c r="F140" t="str">
        <f>"10001"</f>
        <v>10001</v>
      </c>
      <c r="G140" t="str">
        <f>"Statutární město Karviná"</f>
        <v>Statutární město Karviná</v>
      </c>
      <c r="H140" t="str">
        <f>"297534"</f>
        <v>297534</v>
      </c>
      <c r="I140" t="str">
        <f>"jiná právnická osoba (vč. obce a kraje)"</f>
        <v>jiná právnická osoba (vč. obce a kraje)</v>
      </c>
      <c r="J140" t="str">
        <f>"OPO"</f>
        <v>OPO</v>
      </c>
      <c r="K140" t="str">
        <f>"1"</f>
        <v>1</v>
      </c>
      <c r="L140" t="str">
        <f>"Vlastnické právo"</f>
        <v>Vlastnické právo</v>
      </c>
    </row>
    <row r="141" spans="1:12" x14ac:dyDescent="0.25">
      <c r="A141" t="str">
        <f>"Darkov"</f>
        <v>Darkov</v>
      </c>
      <c r="B141" t="str">
        <f>"687"</f>
        <v>687</v>
      </c>
      <c r="C141" t="str">
        <f>"869"</f>
        <v>869</v>
      </c>
      <c r="D141" t="str">
        <f>"lesní pozemek"</f>
        <v>lesní pozemek</v>
      </c>
      <c r="E141" t="str">
        <f>"les jiný než hospodářský"</f>
        <v>les jiný než hospodářský</v>
      </c>
      <c r="F141" t="str">
        <f>"10001"</f>
        <v>10001</v>
      </c>
      <c r="G141" t="str">
        <f>"Statutární město Karviná"</f>
        <v>Statutární město Karviná</v>
      </c>
      <c r="H141" t="str">
        <f>"297534"</f>
        <v>297534</v>
      </c>
      <c r="I141" t="str">
        <f>"jiná právnická osoba (vč. obce a kraje)"</f>
        <v>jiná právnická osoba (vč. obce a kraje)</v>
      </c>
      <c r="J141" t="str">
        <f>"OPO"</f>
        <v>OPO</v>
      </c>
      <c r="K141" t="str">
        <f>"1"</f>
        <v>1</v>
      </c>
      <c r="L141" t="str">
        <f>"Vlastnické právo"</f>
        <v>Vlastnické právo</v>
      </c>
    </row>
    <row r="142" spans="1:12" x14ac:dyDescent="0.25">
      <c r="A142" t="str">
        <f>"Darkov"</f>
        <v>Darkov</v>
      </c>
      <c r="B142" t="str">
        <f>"688"</f>
        <v>688</v>
      </c>
      <c r="C142" t="str">
        <f>"362"</f>
        <v>362</v>
      </c>
      <c r="D142" t="str">
        <f>"lesní pozemek"</f>
        <v>lesní pozemek</v>
      </c>
      <c r="E142" t="str">
        <f>"les jiný než hospodářský"</f>
        <v>les jiný než hospodářský</v>
      </c>
      <c r="F142" t="str">
        <f>"10001"</f>
        <v>10001</v>
      </c>
      <c r="G142" t="str">
        <f>"Statutární město Karviná"</f>
        <v>Statutární město Karviná</v>
      </c>
      <c r="H142" t="str">
        <f>"297534"</f>
        <v>297534</v>
      </c>
      <c r="I142" t="str">
        <f>"jiná právnická osoba (vč. obce a kraje)"</f>
        <v>jiná právnická osoba (vč. obce a kraje)</v>
      </c>
      <c r="J142" t="str">
        <f>"OPO"</f>
        <v>OPO</v>
      </c>
      <c r="K142" t="str">
        <f>"1"</f>
        <v>1</v>
      </c>
      <c r="L142" t="str">
        <f>"Vlastnické právo"</f>
        <v>Vlastnické právo</v>
      </c>
    </row>
    <row r="143" spans="1:12" x14ac:dyDescent="0.25">
      <c r="A143" t="str">
        <f>"Darkov"</f>
        <v>Darkov</v>
      </c>
      <c r="B143" t="str">
        <f>"689"</f>
        <v>689</v>
      </c>
      <c r="C143" t="str">
        <f>"783"</f>
        <v>783</v>
      </c>
      <c r="D143" t="str">
        <f>"lesní pozemek"</f>
        <v>lesní pozemek</v>
      </c>
      <c r="E143" t="str">
        <f>"les jiný než hospodářský"</f>
        <v>les jiný než hospodářský</v>
      </c>
      <c r="F143" t="str">
        <f>"10001"</f>
        <v>10001</v>
      </c>
      <c r="G143" t="str">
        <f>"Statutární město Karviná"</f>
        <v>Statutární město Karviná</v>
      </c>
      <c r="H143" t="str">
        <f>"297534"</f>
        <v>297534</v>
      </c>
      <c r="I143" t="str">
        <f>"jiná právnická osoba (vč. obce a kraje)"</f>
        <v>jiná právnická osoba (vč. obce a kraje)</v>
      </c>
      <c r="J143" t="str">
        <f>"OPO"</f>
        <v>OPO</v>
      </c>
      <c r="K143" t="str">
        <f>"1"</f>
        <v>1</v>
      </c>
      <c r="L143" t="str">
        <f>"Vlastnické právo"</f>
        <v>Vlastnické právo</v>
      </c>
    </row>
    <row r="144" spans="1:12" x14ac:dyDescent="0.25">
      <c r="A144" t="str">
        <f>"Darkov"</f>
        <v>Darkov</v>
      </c>
      <c r="B144" t="str">
        <f>"690"</f>
        <v>690</v>
      </c>
      <c r="C144" t="str">
        <f>"2310"</f>
        <v>2310</v>
      </c>
      <c r="D144" t="str">
        <f>"lesní pozemek"</f>
        <v>lesní pozemek</v>
      </c>
      <c r="E144" t="str">
        <f>"les jiný než hospodářský"</f>
        <v>les jiný než hospodářský</v>
      </c>
      <c r="F144" t="str">
        <f>"10001"</f>
        <v>10001</v>
      </c>
      <c r="G144" t="str">
        <f>"Statutární město Karviná"</f>
        <v>Statutární město Karviná</v>
      </c>
      <c r="H144" t="str">
        <f>"297534"</f>
        <v>297534</v>
      </c>
      <c r="I144" t="str">
        <f>"jiná právnická osoba (vč. obce a kraje)"</f>
        <v>jiná právnická osoba (vč. obce a kraje)</v>
      </c>
      <c r="J144" t="str">
        <f>"OPO"</f>
        <v>OPO</v>
      </c>
      <c r="K144" t="str">
        <f>"1"</f>
        <v>1</v>
      </c>
      <c r="L144" t="str">
        <f>"Vlastnické právo"</f>
        <v>Vlastnické právo</v>
      </c>
    </row>
    <row r="145" spans="1:12" x14ac:dyDescent="0.25">
      <c r="A145" t="str">
        <f>"Darkov"</f>
        <v>Darkov</v>
      </c>
      <c r="B145" t="str">
        <f>"691"</f>
        <v>691</v>
      </c>
      <c r="C145" t="str">
        <f>"1011"</f>
        <v>1011</v>
      </c>
      <c r="D145" t="str">
        <f>"lesní pozemek"</f>
        <v>lesní pozemek</v>
      </c>
      <c r="E145" t="str">
        <f>"les jiný než hospodářský"</f>
        <v>les jiný než hospodářský</v>
      </c>
      <c r="F145" t="str">
        <f>"10001"</f>
        <v>10001</v>
      </c>
      <c r="G145" t="str">
        <f>"Statutární město Karviná"</f>
        <v>Statutární město Karviná</v>
      </c>
      <c r="H145" t="str">
        <f>"297534"</f>
        <v>297534</v>
      </c>
      <c r="I145" t="str">
        <f>"jiná právnická osoba (vč. obce a kraje)"</f>
        <v>jiná právnická osoba (vč. obce a kraje)</v>
      </c>
      <c r="J145" t="str">
        <f>"OPO"</f>
        <v>OPO</v>
      </c>
      <c r="K145" t="str">
        <f>"1"</f>
        <v>1</v>
      </c>
      <c r="L145" t="str">
        <f>"Vlastnické právo"</f>
        <v>Vlastnické právo</v>
      </c>
    </row>
    <row r="146" spans="1:12" x14ac:dyDescent="0.25">
      <c r="A146" t="str">
        <f>"Darkov"</f>
        <v>Darkov</v>
      </c>
      <c r="B146" t="str">
        <f>"692"</f>
        <v>692</v>
      </c>
      <c r="C146" t="str">
        <f>"1138"</f>
        <v>1138</v>
      </c>
      <c r="D146" t="str">
        <f>"lesní pozemek"</f>
        <v>lesní pozemek</v>
      </c>
      <c r="E146" t="str">
        <f>"les jiný než hospodářský"</f>
        <v>les jiný než hospodářský</v>
      </c>
      <c r="F146" t="str">
        <f>"10001"</f>
        <v>10001</v>
      </c>
      <c r="G146" t="str">
        <f>"Statutární město Karviná"</f>
        <v>Statutární město Karviná</v>
      </c>
      <c r="H146" t="str">
        <f>"297534"</f>
        <v>297534</v>
      </c>
      <c r="I146" t="str">
        <f>"jiná právnická osoba (vč. obce a kraje)"</f>
        <v>jiná právnická osoba (vč. obce a kraje)</v>
      </c>
      <c r="J146" t="str">
        <f>"OPO"</f>
        <v>OPO</v>
      </c>
      <c r="K146" t="str">
        <f>"1"</f>
        <v>1</v>
      </c>
      <c r="L146" t="str">
        <f>"Vlastnické právo"</f>
        <v>Vlastnické právo</v>
      </c>
    </row>
    <row r="147" spans="1:12" x14ac:dyDescent="0.25">
      <c r="A147" t="str">
        <f>"Darkov"</f>
        <v>Darkov</v>
      </c>
      <c r="B147" t="str">
        <f>"693"</f>
        <v>693</v>
      </c>
      <c r="C147" t="str">
        <f>"802"</f>
        <v>802</v>
      </c>
      <c r="D147" t="str">
        <f>"lesní pozemek"</f>
        <v>lesní pozemek</v>
      </c>
      <c r="E147" t="str">
        <f>"les jiný než hospodářský"</f>
        <v>les jiný než hospodářský</v>
      </c>
      <c r="F147" t="str">
        <f>"10001"</f>
        <v>10001</v>
      </c>
      <c r="G147" t="str">
        <f>"Statutární město Karviná"</f>
        <v>Statutární město Karviná</v>
      </c>
      <c r="H147" t="str">
        <f>"297534"</f>
        <v>297534</v>
      </c>
      <c r="I147" t="str">
        <f>"jiná právnická osoba (vč. obce a kraje)"</f>
        <v>jiná právnická osoba (vč. obce a kraje)</v>
      </c>
      <c r="J147" t="str">
        <f>"OPO"</f>
        <v>OPO</v>
      </c>
      <c r="K147" t="str">
        <f>"1"</f>
        <v>1</v>
      </c>
      <c r="L147" t="str">
        <f>"Vlastnické právo"</f>
        <v>Vlastnické právo</v>
      </c>
    </row>
    <row r="148" spans="1:12" x14ac:dyDescent="0.25">
      <c r="A148" t="str">
        <f>"Darkov"</f>
        <v>Darkov</v>
      </c>
      <c r="B148" t="str">
        <f>"696/1"</f>
        <v>696/1</v>
      </c>
      <c r="C148" t="str">
        <f>"113"</f>
        <v>113</v>
      </c>
      <c r="D148" t="str">
        <f>"lesní pozemek"</f>
        <v>lesní pozemek</v>
      </c>
      <c r="E148" t="str">
        <f>"les jiný než hospodářský"</f>
        <v>les jiný než hospodářský</v>
      </c>
      <c r="F148" t="str">
        <f>"10001"</f>
        <v>10001</v>
      </c>
      <c r="G148" t="str">
        <f>"Statutární město Karviná"</f>
        <v>Statutární město Karviná</v>
      </c>
      <c r="H148" t="str">
        <f>"297534"</f>
        <v>297534</v>
      </c>
      <c r="I148" t="str">
        <f>"jiná právnická osoba (vč. obce a kraje)"</f>
        <v>jiná právnická osoba (vč. obce a kraje)</v>
      </c>
      <c r="J148" t="str">
        <f>"OPO"</f>
        <v>OPO</v>
      </c>
      <c r="K148" t="str">
        <f>"1"</f>
        <v>1</v>
      </c>
      <c r="L148" t="str">
        <f>"Vlastnické právo"</f>
        <v>Vlastnické právo</v>
      </c>
    </row>
    <row r="149" spans="1:12" x14ac:dyDescent="0.25">
      <c r="A149" t="str">
        <f>"Darkov"</f>
        <v>Darkov</v>
      </c>
      <c r="B149" t="str">
        <f>"698/1"</f>
        <v>698/1</v>
      </c>
      <c r="C149" t="str">
        <f>"1758"</f>
        <v>1758</v>
      </c>
      <c r="D149" t="str">
        <f>"lesní pozemek"</f>
        <v>lesní pozemek</v>
      </c>
      <c r="E149" t="str">
        <f>""</f>
        <v/>
      </c>
      <c r="F149" t="str">
        <f>"10001"</f>
        <v>10001</v>
      </c>
      <c r="G149" t="str">
        <f>"Statutární město Karviná"</f>
        <v>Statutární město Karviná</v>
      </c>
      <c r="H149" t="str">
        <f>"297534"</f>
        <v>297534</v>
      </c>
      <c r="I149" t="str">
        <f>"jiná právnická osoba (vč. obce a kraje)"</f>
        <v>jiná právnická osoba (vč. obce a kraje)</v>
      </c>
      <c r="J149" t="str">
        <f>"OPO"</f>
        <v>OPO</v>
      </c>
      <c r="K149" t="str">
        <f>"1"</f>
        <v>1</v>
      </c>
      <c r="L149" t="str">
        <f>"Vlastnické právo"</f>
        <v>Vlastnické právo</v>
      </c>
    </row>
    <row r="150" spans="1:12" x14ac:dyDescent="0.25">
      <c r="A150" t="str">
        <f>"Darkov"</f>
        <v>Darkov</v>
      </c>
      <c r="B150" t="str">
        <f>"699/2"</f>
        <v>699/2</v>
      </c>
      <c r="C150" t="str">
        <f>"2730"</f>
        <v>2730</v>
      </c>
      <c r="D150" t="str">
        <f>"lesní pozemek"</f>
        <v>lesní pozemek</v>
      </c>
      <c r="E150" t="str">
        <f>"les jiný než hospodářský"</f>
        <v>les jiný než hospodářský</v>
      </c>
      <c r="F150" t="str">
        <f>"10001"</f>
        <v>10001</v>
      </c>
      <c r="G150" t="str">
        <f>"Statutární město Karviná"</f>
        <v>Statutární město Karviná</v>
      </c>
      <c r="H150" t="str">
        <f>"297534"</f>
        <v>297534</v>
      </c>
      <c r="I150" t="str">
        <f>"jiná právnická osoba (vč. obce a kraje)"</f>
        <v>jiná právnická osoba (vč. obce a kraje)</v>
      </c>
      <c r="J150" t="str">
        <f>"OPO"</f>
        <v>OPO</v>
      </c>
      <c r="K150" t="str">
        <f>"1"</f>
        <v>1</v>
      </c>
      <c r="L150" t="str">
        <f>"Vlastnické právo"</f>
        <v>Vlastnické právo</v>
      </c>
    </row>
    <row r="151" spans="1:12" x14ac:dyDescent="0.25">
      <c r="A151" t="str">
        <f>"Darkov"</f>
        <v>Darkov</v>
      </c>
      <c r="B151" t="str">
        <f>"699/3"</f>
        <v>699/3</v>
      </c>
      <c r="C151" t="str">
        <f>"3952"</f>
        <v>3952</v>
      </c>
      <c r="D151" t="str">
        <f>"lesní pozemek"</f>
        <v>lesní pozemek</v>
      </c>
      <c r="E151" t="str">
        <f>"les jiný než hospodářský"</f>
        <v>les jiný než hospodářský</v>
      </c>
      <c r="F151" t="str">
        <f>"10001"</f>
        <v>10001</v>
      </c>
      <c r="G151" t="str">
        <f>"Statutární město Karviná"</f>
        <v>Statutární město Karviná</v>
      </c>
      <c r="H151" t="str">
        <f>"297534"</f>
        <v>297534</v>
      </c>
      <c r="I151" t="str">
        <f>"jiná právnická osoba (vč. obce a kraje)"</f>
        <v>jiná právnická osoba (vč. obce a kraje)</v>
      </c>
      <c r="J151" t="str">
        <f>"OPO"</f>
        <v>OPO</v>
      </c>
      <c r="K151" t="str">
        <f>"1"</f>
        <v>1</v>
      </c>
      <c r="L151" t="str">
        <f>"Vlastnické právo"</f>
        <v>Vlastnické právo</v>
      </c>
    </row>
    <row r="152" spans="1:12" x14ac:dyDescent="0.25">
      <c r="A152" t="str">
        <f>"Darkov"</f>
        <v>Darkov</v>
      </c>
      <c r="B152" t="str">
        <f>"699/6"</f>
        <v>699/6</v>
      </c>
      <c r="C152" t="str">
        <f>"87"</f>
        <v>87</v>
      </c>
      <c r="D152" t="str">
        <f>"lesní pozemek"</f>
        <v>lesní pozemek</v>
      </c>
      <c r="E152" t="str">
        <f>"les jiný než hospodářský"</f>
        <v>les jiný než hospodářský</v>
      </c>
      <c r="F152" t="str">
        <f>"10001"</f>
        <v>10001</v>
      </c>
      <c r="G152" t="str">
        <f>"Statutární město Karviná"</f>
        <v>Statutární město Karviná</v>
      </c>
      <c r="H152" t="str">
        <f>"297534"</f>
        <v>297534</v>
      </c>
      <c r="I152" t="str">
        <f>"jiná právnická osoba (vč. obce a kraje)"</f>
        <v>jiná právnická osoba (vč. obce a kraje)</v>
      </c>
      <c r="J152" t="str">
        <f>"OPO"</f>
        <v>OPO</v>
      </c>
      <c r="K152" t="str">
        <f>"1"</f>
        <v>1</v>
      </c>
      <c r="L152" t="str">
        <f>"Vlastnické právo"</f>
        <v>Vlastnické právo</v>
      </c>
    </row>
    <row r="153" spans="1:12" x14ac:dyDescent="0.25">
      <c r="A153" t="str">
        <f>"Darkov"</f>
        <v>Darkov</v>
      </c>
      <c r="B153" t="str">
        <f>"703/1"</f>
        <v>703/1</v>
      </c>
      <c r="C153" t="str">
        <f>"3160"</f>
        <v>3160</v>
      </c>
      <c r="D153" t="str">
        <f>"lesní pozemek"</f>
        <v>lesní pozemek</v>
      </c>
      <c r="E153" t="str">
        <f>"les jiný než hospodářský"</f>
        <v>les jiný než hospodářský</v>
      </c>
      <c r="F153" t="str">
        <f>"923"</f>
        <v>923</v>
      </c>
      <c r="G153" t="str">
        <f>"Česká republika"</f>
        <v>Česká republika</v>
      </c>
      <c r="H153" t="str">
        <f>"1"</f>
        <v>1</v>
      </c>
      <c r="I153" t="str">
        <f>"Česká republika"</f>
        <v>Česká republika</v>
      </c>
      <c r="J153" t="str">
        <f>"OPO"</f>
        <v>OPO</v>
      </c>
      <c r="K153" t="str">
        <f>"1/2"</f>
        <v>1/2</v>
      </c>
      <c r="L153" t="str">
        <f>"Vlastnické právo"</f>
        <v>Vlastnické právo</v>
      </c>
    </row>
    <row r="154" spans="1:12" x14ac:dyDescent="0.25">
      <c r="A154" t="str">
        <f>"Darkov"</f>
        <v>Darkov</v>
      </c>
      <c r="B154" t="str">
        <f>"703/1"</f>
        <v>703/1</v>
      </c>
      <c r="C154" t="str">
        <f>"3160"</f>
        <v>3160</v>
      </c>
      <c r="D154" t="str">
        <f>"lesní pozemek"</f>
        <v>lesní pozemek</v>
      </c>
      <c r="E154" t="str">
        <f>"les jiný než hospodářský"</f>
        <v>les jiný než hospodářský</v>
      </c>
      <c r="F154" t="str">
        <f>"923"</f>
        <v>923</v>
      </c>
      <c r="G154" t="str">
        <f>"Statutární město Karviná"</f>
        <v>Statutární město Karviná</v>
      </c>
      <c r="H154" t="str">
        <f>"297534"</f>
        <v>297534</v>
      </c>
      <c r="I154" t="str">
        <f>"jiná právnická osoba (vč. obce a kraje)"</f>
        <v>jiná právnická osoba (vč. obce a kraje)</v>
      </c>
      <c r="J154" t="str">
        <f>"OPO"</f>
        <v>OPO</v>
      </c>
      <c r="K154" t="str">
        <f>"1/2"</f>
        <v>1/2</v>
      </c>
      <c r="L154" t="str">
        <f>"Vlastnické právo"</f>
        <v>Vlastnické právo</v>
      </c>
    </row>
    <row r="155" spans="1:12" x14ac:dyDescent="0.25">
      <c r="A155" t="str">
        <f>"Darkov"</f>
        <v>Darkov</v>
      </c>
      <c r="B155" t="str">
        <f>"703/1"</f>
        <v>703/1</v>
      </c>
      <c r="C155" t="str">
        <f>"3160"</f>
        <v>3160</v>
      </c>
      <c r="D155" t="str">
        <f>"lesní pozemek"</f>
        <v>lesní pozemek</v>
      </c>
      <c r="E155" t="str">
        <f>"les jiný než hospodářský"</f>
        <v>les jiný než hospodářský</v>
      </c>
      <c r="F155" t="str">
        <f>"923"</f>
        <v>923</v>
      </c>
      <c r="G155" t="str">
        <f>"Lesy České republiky, s.p."</f>
        <v>Lesy České republiky, s.p.</v>
      </c>
      <c r="H155" t="str">
        <f>"42196451"</f>
        <v>42196451</v>
      </c>
      <c r="I155" t="str">
        <f>"Organizační složka státu (účetní jednotka)"</f>
        <v>Organizační složka státu (účetní jednotka)</v>
      </c>
      <c r="J155" t="str">
        <f>"OPO"</f>
        <v>OPO</v>
      </c>
      <c r="K155" t="str">
        <f>"1/2"</f>
        <v>1/2</v>
      </c>
      <c r="L155" t="str">
        <f>"Právo hospodařit s majetkem státu"</f>
        <v>Právo hospodařit s majetkem státu</v>
      </c>
    </row>
    <row r="156" spans="1:12" x14ac:dyDescent="0.25">
      <c r="A156" t="str">
        <f>"Darkov"</f>
        <v>Darkov</v>
      </c>
      <c r="B156" t="str">
        <f>"703/2"</f>
        <v>703/2</v>
      </c>
      <c r="C156" t="str">
        <f>"785"</f>
        <v>785</v>
      </c>
      <c r="D156" t="str">
        <f>"lesní pozemek"</f>
        <v>lesní pozemek</v>
      </c>
      <c r="E156" t="str">
        <f>"les jiný než hospodářský"</f>
        <v>les jiný než hospodářský</v>
      </c>
      <c r="F156" t="str">
        <f>"923"</f>
        <v>923</v>
      </c>
      <c r="G156" t="str">
        <f>"Lesy České republiky, s.p."</f>
        <v>Lesy České republiky, s.p.</v>
      </c>
      <c r="H156" t="str">
        <f>"42196451"</f>
        <v>42196451</v>
      </c>
      <c r="I156" t="str">
        <f>"Organizační složka státu (účetní jednotka)"</f>
        <v>Organizační složka státu (účetní jednotka)</v>
      </c>
      <c r="J156" t="str">
        <f>"OPO"</f>
        <v>OPO</v>
      </c>
      <c r="K156" t="str">
        <f>"1/2"</f>
        <v>1/2</v>
      </c>
      <c r="L156" t="str">
        <f>"Právo hospodařit s majetkem státu"</f>
        <v>Právo hospodařit s majetkem státu</v>
      </c>
    </row>
    <row r="157" spans="1:12" x14ac:dyDescent="0.25">
      <c r="A157" t="str">
        <f>"Darkov"</f>
        <v>Darkov</v>
      </c>
      <c r="B157" t="str">
        <f>"703/2"</f>
        <v>703/2</v>
      </c>
      <c r="C157" t="str">
        <f>"785"</f>
        <v>785</v>
      </c>
      <c r="D157" t="str">
        <f>"lesní pozemek"</f>
        <v>lesní pozemek</v>
      </c>
      <c r="E157" t="str">
        <f>"les jiný než hospodářský"</f>
        <v>les jiný než hospodářský</v>
      </c>
      <c r="F157" t="str">
        <f>"923"</f>
        <v>923</v>
      </c>
      <c r="G157" t="str">
        <f>"Česká republika"</f>
        <v>Česká republika</v>
      </c>
      <c r="H157" t="str">
        <f>"1"</f>
        <v>1</v>
      </c>
      <c r="I157" t="str">
        <f>"Česká republika"</f>
        <v>Česká republika</v>
      </c>
      <c r="J157" t="str">
        <f>"OPO"</f>
        <v>OPO</v>
      </c>
      <c r="K157" t="str">
        <f>"1/2"</f>
        <v>1/2</v>
      </c>
      <c r="L157" t="str">
        <f>"Vlastnické právo"</f>
        <v>Vlastnické právo</v>
      </c>
    </row>
    <row r="158" spans="1:12" x14ac:dyDescent="0.25">
      <c r="A158" t="str">
        <f>"Darkov"</f>
        <v>Darkov</v>
      </c>
      <c r="B158" t="str">
        <f>"703/2"</f>
        <v>703/2</v>
      </c>
      <c r="C158" t="str">
        <f>"785"</f>
        <v>785</v>
      </c>
      <c r="D158" t="str">
        <f>"lesní pozemek"</f>
        <v>lesní pozemek</v>
      </c>
      <c r="E158" t="str">
        <f>"les jiný než hospodářský"</f>
        <v>les jiný než hospodářský</v>
      </c>
      <c r="F158" t="str">
        <f>"923"</f>
        <v>923</v>
      </c>
      <c r="G158" t="str">
        <f>"Statutární město Karviná"</f>
        <v>Statutární město Karviná</v>
      </c>
      <c r="H158" t="str">
        <f>"297534"</f>
        <v>297534</v>
      </c>
      <c r="I158" t="str">
        <f>"jiná právnická osoba (vč. obce a kraje)"</f>
        <v>jiná právnická osoba (vč. obce a kraje)</v>
      </c>
      <c r="J158" t="str">
        <f>"OPO"</f>
        <v>OPO</v>
      </c>
      <c r="K158" t="str">
        <f>"1/2"</f>
        <v>1/2</v>
      </c>
      <c r="L158" t="str">
        <f>"Vlastnické právo"</f>
        <v>Vlastnické právo</v>
      </c>
    </row>
    <row r="159" spans="1:12" x14ac:dyDescent="0.25">
      <c r="A159" t="str">
        <f>"Darkov"</f>
        <v>Darkov</v>
      </c>
      <c r="B159" t="str">
        <f>"704"</f>
        <v>704</v>
      </c>
      <c r="C159" t="str">
        <f>"597"</f>
        <v>597</v>
      </c>
      <c r="D159" t="str">
        <f>"lesní pozemek"</f>
        <v>lesní pozemek</v>
      </c>
      <c r="E159" t="str">
        <f>"les jiný než hospodářský"</f>
        <v>les jiný než hospodářský</v>
      </c>
      <c r="F159" t="str">
        <f>"10001"</f>
        <v>10001</v>
      </c>
      <c r="G159" t="str">
        <f>"Statutární město Karviná"</f>
        <v>Statutární město Karviná</v>
      </c>
      <c r="H159" t="str">
        <f>"297534"</f>
        <v>297534</v>
      </c>
      <c r="I159" t="str">
        <f>"jiná právnická osoba (vč. obce a kraje)"</f>
        <v>jiná právnická osoba (vč. obce a kraje)</v>
      </c>
      <c r="J159" t="str">
        <f>"OPO"</f>
        <v>OPO</v>
      </c>
      <c r="K159" t="str">
        <f>"1"</f>
        <v>1</v>
      </c>
      <c r="L159" t="str">
        <f>"Vlastnické právo"</f>
        <v>Vlastnické právo</v>
      </c>
    </row>
    <row r="160" spans="1:12" x14ac:dyDescent="0.25">
      <c r="A160" t="str">
        <f>"Darkov"</f>
        <v>Darkov</v>
      </c>
      <c r="B160" t="str">
        <f>"705"</f>
        <v>705</v>
      </c>
      <c r="C160" t="str">
        <f>"359"</f>
        <v>359</v>
      </c>
      <c r="D160" t="str">
        <f>"lesní pozemek"</f>
        <v>lesní pozemek</v>
      </c>
      <c r="E160" t="str">
        <f>"les jiný než hospodářský"</f>
        <v>les jiný než hospodářský</v>
      </c>
      <c r="F160" t="str">
        <f>"10001"</f>
        <v>10001</v>
      </c>
      <c r="G160" t="str">
        <f>"Statutární město Karviná"</f>
        <v>Statutární město Karviná</v>
      </c>
      <c r="H160" t="str">
        <f>"297534"</f>
        <v>297534</v>
      </c>
      <c r="I160" t="str">
        <f>"jiná právnická osoba (vč. obce a kraje)"</f>
        <v>jiná právnická osoba (vč. obce a kraje)</v>
      </c>
      <c r="J160" t="str">
        <f>"OPO"</f>
        <v>OPO</v>
      </c>
      <c r="K160" t="str">
        <f>"1"</f>
        <v>1</v>
      </c>
      <c r="L160" t="str">
        <f>"Vlastnické právo"</f>
        <v>Vlastnické právo</v>
      </c>
    </row>
    <row r="161" spans="1:12" x14ac:dyDescent="0.25">
      <c r="A161" t="str">
        <f>"Darkov"</f>
        <v>Darkov</v>
      </c>
      <c r="B161" t="str">
        <f>"706"</f>
        <v>706</v>
      </c>
      <c r="C161" t="str">
        <f>"2239"</f>
        <v>2239</v>
      </c>
      <c r="D161" t="str">
        <f>"lesní pozemek"</f>
        <v>lesní pozemek</v>
      </c>
      <c r="E161" t="str">
        <f>"les jiný než hospodářský"</f>
        <v>les jiný než hospodářský</v>
      </c>
      <c r="F161" t="str">
        <f>"10001"</f>
        <v>10001</v>
      </c>
      <c r="G161" t="str">
        <f>"Statutární město Karviná"</f>
        <v>Statutární město Karviná</v>
      </c>
      <c r="H161" t="str">
        <f>"297534"</f>
        <v>297534</v>
      </c>
      <c r="I161" t="str">
        <f>"jiná právnická osoba (vč. obce a kraje)"</f>
        <v>jiná právnická osoba (vč. obce a kraje)</v>
      </c>
      <c r="J161" t="str">
        <f>"OPO"</f>
        <v>OPO</v>
      </c>
      <c r="K161" t="str">
        <f>"1"</f>
        <v>1</v>
      </c>
      <c r="L161" t="str">
        <f>"Vlastnické právo"</f>
        <v>Vlastnické právo</v>
      </c>
    </row>
    <row r="162" spans="1:12" x14ac:dyDescent="0.25">
      <c r="A162" t="str">
        <f>"Darkov"</f>
        <v>Darkov</v>
      </c>
      <c r="B162" t="str">
        <f>"707"</f>
        <v>707</v>
      </c>
      <c r="C162" t="str">
        <f>"2312"</f>
        <v>2312</v>
      </c>
      <c r="D162" t="str">
        <f>"lesní pozemek"</f>
        <v>lesní pozemek</v>
      </c>
      <c r="E162" t="str">
        <f>"les jiný než hospodářský"</f>
        <v>les jiný než hospodářský</v>
      </c>
      <c r="F162" t="str">
        <f>"10001"</f>
        <v>10001</v>
      </c>
      <c r="G162" t="str">
        <f>"Statutární město Karviná"</f>
        <v>Statutární město Karviná</v>
      </c>
      <c r="H162" t="str">
        <f>"297534"</f>
        <v>297534</v>
      </c>
      <c r="I162" t="str">
        <f>"jiná právnická osoba (vč. obce a kraje)"</f>
        <v>jiná právnická osoba (vč. obce a kraje)</v>
      </c>
      <c r="J162" t="str">
        <f>"OPO"</f>
        <v>OPO</v>
      </c>
      <c r="K162" t="str">
        <f>"1"</f>
        <v>1</v>
      </c>
      <c r="L162" t="str">
        <f>"Vlastnické právo"</f>
        <v>Vlastnické právo</v>
      </c>
    </row>
    <row r="163" spans="1:12" x14ac:dyDescent="0.25">
      <c r="A163" t="str">
        <f>"Darkov"</f>
        <v>Darkov</v>
      </c>
      <c r="B163" t="str">
        <f>"708"</f>
        <v>708</v>
      </c>
      <c r="C163" t="str">
        <f>"278"</f>
        <v>278</v>
      </c>
      <c r="D163" t="str">
        <f>"lesní pozemek"</f>
        <v>lesní pozemek</v>
      </c>
      <c r="E163" t="str">
        <f>"les jiný než hospodářský"</f>
        <v>les jiný než hospodářský</v>
      </c>
      <c r="F163" t="str">
        <f>"10001"</f>
        <v>10001</v>
      </c>
      <c r="G163" t="str">
        <f>"Statutární město Karviná"</f>
        <v>Statutární město Karviná</v>
      </c>
      <c r="H163" t="str">
        <f>"297534"</f>
        <v>297534</v>
      </c>
      <c r="I163" t="str">
        <f>"jiná právnická osoba (vč. obce a kraje)"</f>
        <v>jiná právnická osoba (vč. obce a kraje)</v>
      </c>
      <c r="J163" t="str">
        <f>"OPO"</f>
        <v>OPO</v>
      </c>
      <c r="K163" t="str">
        <f>"1"</f>
        <v>1</v>
      </c>
      <c r="L163" t="str">
        <f>"Vlastnické právo"</f>
        <v>Vlastnické právo</v>
      </c>
    </row>
    <row r="164" spans="1:12" x14ac:dyDescent="0.25">
      <c r="A164" t="str">
        <f>"Darkov"</f>
        <v>Darkov</v>
      </c>
      <c r="B164" t="str">
        <f>"709"</f>
        <v>709</v>
      </c>
      <c r="C164" t="str">
        <f>"313"</f>
        <v>313</v>
      </c>
      <c r="D164" t="str">
        <f>"lesní pozemek"</f>
        <v>lesní pozemek</v>
      </c>
      <c r="E164" t="str">
        <f>"les jiný než hospodářský"</f>
        <v>les jiný než hospodářský</v>
      </c>
      <c r="F164" t="str">
        <f>"10001"</f>
        <v>10001</v>
      </c>
      <c r="G164" t="str">
        <f>"Statutární město Karviná"</f>
        <v>Statutární město Karviná</v>
      </c>
      <c r="H164" t="str">
        <f>"297534"</f>
        <v>297534</v>
      </c>
      <c r="I164" t="str">
        <f>"jiná právnická osoba (vč. obce a kraje)"</f>
        <v>jiná právnická osoba (vč. obce a kraje)</v>
      </c>
      <c r="J164" t="str">
        <f>"OPO"</f>
        <v>OPO</v>
      </c>
      <c r="K164" t="str">
        <f>"1"</f>
        <v>1</v>
      </c>
      <c r="L164" t="str">
        <f>"Vlastnické právo"</f>
        <v>Vlastnické právo</v>
      </c>
    </row>
    <row r="165" spans="1:12" x14ac:dyDescent="0.25">
      <c r="A165" t="str">
        <f>"Darkov"</f>
        <v>Darkov</v>
      </c>
      <c r="B165" t="str">
        <f>"710"</f>
        <v>710</v>
      </c>
      <c r="C165" t="str">
        <f>"5134"</f>
        <v>5134</v>
      </c>
      <c r="D165" t="str">
        <f>"lesní pozemek"</f>
        <v>lesní pozemek</v>
      </c>
      <c r="E165" t="str">
        <f>"les jiný než hospodářský"</f>
        <v>les jiný než hospodářský</v>
      </c>
      <c r="F165" t="str">
        <f>"10001"</f>
        <v>10001</v>
      </c>
      <c r="G165" t="str">
        <f>"Statutární město Karviná"</f>
        <v>Statutární město Karviná</v>
      </c>
      <c r="H165" t="str">
        <f>"297534"</f>
        <v>297534</v>
      </c>
      <c r="I165" t="str">
        <f>"jiná právnická osoba (vč. obce a kraje)"</f>
        <v>jiná právnická osoba (vč. obce a kraje)</v>
      </c>
      <c r="J165" t="str">
        <f>"OPO"</f>
        <v>OPO</v>
      </c>
      <c r="K165" t="str">
        <f>"1"</f>
        <v>1</v>
      </c>
      <c r="L165" t="str">
        <f>"Vlastnické právo"</f>
        <v>Vlastnické právo</v>
      </c>
    </row>
    <row r="166" spans="1:12" x14ac:dyDescent="0.25">
      <c r="A166" t="str">
        <f>"Darkov"</f>
        <v>Darkov</v>
      </c>
      <c r="B166" t="str">
        <f>"711/1"</f>
        <v>711/1</v>
      </c>
      <c r="C166" t="str">
        <f>"1496"</f>
        <v>1496</v>
      </c>
      <c r="D166" t="str">
        <f>"lesní pozemek"</f>
        <v>lesní pozemek</v>
      </c>
      <c r="E166" t="str">
        <f>"les jiný než hospodářský"</f>
        <v>les jiný než hospodářský</v>
      </c>
      <c r="F166" t="str">
        <f>"10001"</f>
        <v>10001</v>
      </c>
      <c r="G166" t="str">
        <f>"Statutární město Karviná"</f>
        <v>Statutární město Karviná</v>
      </c>
      <c r="H166" t="str">
        <f>"297534"</f>
        <v>297534</v>
      </c>
      <c r="I166" t="str">
        <f>"jiná právnická osoba (vč. obce a kraje)"</f>
        <v>jiná právnická osoba (vč. obce a kraje)</v>
      </c>
      <c r="J166" t="str">
        <f>"OPO"</f>
        <v>OPO</v>
      </c>
      <c r="K166" t="str">
        <f>"1"</f>
        <v>1</v>
      </c>
      <c r="L166" t="str">
        <f>"Vlastnické právo"</f>
        <v>Vlastnické právo</v>
      </c>
    </row>
    <row r="167" spans="1:12" x14ac:dyDescent="0.25">
      <c r="A167" t="str">
        <f>"Darkov"</f>
        <v>Darkov</v>
      </c>
      <c r="B167" t="str">
        <f>"711/2"</f>
        <v>711/2</v>
      </c>
      <c r="C167" t="str">
        <f>"1426"</f>
        <v>1426</v>
      </c>
      <c r="D167" t="str">
        <f>"lesní pozemek"</f>
        <v>lesní pozemek</v>
      </c>
      <c r="E167" t="str">
        <f>"les jiný než hospodářský"</f>
        <v>les jiný než hospodářský</v>
      </c>
      <c r="F167" t="str">
        <f>"10001"</f>
        <v>10001</v>
      </c>
      <c r="G167" t="str">
        <f>"Statutární město Karviná"</f>
        <v>Statutární město Karviná</v>
      </c>
      <c r="H167" t="str">
        <f>"297534"</f>
        <v>297534</v>
      </c>
      <c r="I167" t="str">
        <f>"jiná právnická osoba (vč. obce a kraje)"</f>
        <v>jiná právnická osoba (vč. obce a kraje)</v>
      </c>
      <c r="J167" t="str">
        <f>"OPO"</f>
        <v>OPO</v>
      </c>
      <c r="K167" t="str">
        <f>"1"</f>
        <v>1</v>
      </c>
      <c r="L167" t="str">
        <f>"Vlastnické právo"</f>
        <v>Vlastnické právo</v>
      </c>
    </row>
    <row r="168" spans="1:12" x14ac:dyDescent="0.25">
      <c r="A168" t="str">
        <f>"Darkov"</f>
        <v>Darkov</v>
      </c>
      <c r="B168" t="str">
        <f>"712/1"</f>
        <v>712/1</v>
      </c>
      <c r="C168" t="str">
        <f>"1485"</f>
        <v>1485</v>
      </c>
      <c r="D168" t="str">
        <f>"lesní pozemek"</f>
        <v>lesní pozemek</v>
      </c>
      <c r="E168" t="str">
        <f>"les jiný než hospodářský"</f>
        <v>les jiný než hospodářský</v>
      </c>
      <c r="F168" t="str">
        <f>"10001"</f>
        <v>10001</v>
      </c>
      <c r="G168" t="str">
        <f>"Statutární město Karviná"</f>
        <v>Statutární město Karviná</v>
      </c>
      <c r="H168" t="str">
        <f>"297534"</f>
        <v>297534</v>
      </c>
      <c r="I168" t="str">
        <f>"jiná právnická osoba (vč. obce a kraje)"</f>
        <v>jiná právnická osoba (vč. obce a kraje)</v>
      </c>
      <c r="J168" t="str">
        <f>"OPO"</f>
        <v>OPO</v>
      </c>
      <c r="K168" t="str">
        <f>"1"</f>
        <v>1</v>
      </c>
      <c r="L168" t="str">
        <f>"Vlastnické právo"</f>
        <v>Vlastnické právo</v>
      </c>
    </row>
    <row r="169" spans="1:12" x14ac:dyDescent="0.25">
      <c r="A169" t="str">
        <f>"Darkov"</f>
        <v>Darkov</v>
      </c>
      <c r="B169" t="str">
        <f>"712/2"</f>
        <v>712/2</v>
      </c>
      <c r="C169" t="str">
        <f>"499"</f>
        <v>499</v>
      </c>
      <c r="D169" t="str">
        <f>"lesní pozemek"</f>
        <v>lesní pozemek</v>
      </c>
      <c r="E169" t="str">
        <f>"les jiný než hospodářský"</f>
        <v>les jiný než hospodářský</v>
      </c>
      <c r="F169" t="str">
        <f>"10001"</f>
        <v>10001</v>
      </c>
      <c r="G169" t="str">
        <f>"Statutární město Karviná"</f>
        <v>Statutární město Karviná</v>
      </c>
      <c r="H169" t="str">
        <f>"297534"</f>
        <v>297534</v>
      </c>
      <c r="I169" t="str">
        <f>"jiná právnická osoba (vč. obce a kraje)"</f>
        <v>jiná právnická osoba (vč. obce a kraje)</v>
      </c>
      <c r="J169" t="str">
        <f>"OPO"</f>
        <v>OPO</v>
      </c>
      <c r="K169" t="str">
        <f>"1"</f>
        <v>1</v>
      </c>
      <c r="L169" t="str">
        <f>"Vlastnické právo"</f>
        <v>Vlastnické právo</v>
      </c>
    </row>
    <row r="170" spans="1:12" x14ac:dyDescent="0.25">
      <c r="A170" t="str">
        <f>"Darkov"</f>
        <v>Darkov</v>
      </c>
      <c r="B170" t="str">
        <f>"718/1"</f>
        <v>718/1</v>
      </c>
      <c r="C170" t="str">
        <f>"990"</f>
        <v>990</v>
      </c>
      <c r="D170" t="str">
        <f>"lesní pozemek"</f>
        <v>lesní pozemek</v>
      </c>
      <c r="E170" t="str">
        <f>"les jiný než hospodářský"</f>
        <v>les jiný než hospodářský</v>
      </c>
      <c r="F170" t="str">
        <f>"10001"</f>
        <v>10001</v>
      </c>
      <c r="G170" t="str">
        <f>"Statutární město Karviná"</f>
        <v>Statutární město Karviná</v>
      </c>
      <c r="H170" t="str">
        <f>"297534"</f>
        <v>297534</v>
      </c>
      <c r="I170" t="str">
        <f>"jiná právnická osoba (vč. obce a kraje)"</f>
        <v>jiná právnická osoba (vč. obce a kraje)</v>
      </c>
      <c r="J170" t="str">
        <f>"OPO"</f>
        <v>OPO</v>
      </c>
      <c r="K170" t="str">
        <f>"1"</f>
        <v>1</v>
      </c>
      <c r="L170" t="str">
        <f>"Vlastnické právo"</f>
        <v>Vlastnické právo</v>
      </c>
    </row>
    <row r="171" spans="1:12" x14ac:dyDescent="0.25">
      <c r="A171" t="str">
        <f>"Darkov"</f>
        <v>Darkov</v>
      </c>
      <c r="B171" t="str">
        <f>"719/1"</f>
        <v>719/1</v>
      </c>
      <c r="C171" t="str">
        <f>"2610"</f>
        <v>2610</v>
      </c>
      <c r="D171" t="str">
        <f>"lesní pozemek"</f>
        <v>lesní pozemek</v>
      </c>
      <c r="E171" t="str">
        <f>"les jiný než hospodářský"</f>
        <v>les jiný než hospodářský</v>
      </c>
      <c r="F171" t="str">
        <f>"10001"</f>
        <v>10001</v>
      </c>
      <c r="G171" t="str">
        <f>"Statutární město Karviná"</f>
        <v>Statutární město Karviná</v>
      </c>
      <c r="H171" t="str">
        <f>"297534"</f>
        <v>297534</v>
      </c>
      <c r="I171" t="str">
        <f>"jiná právnická osoba (vč. obce a kraje)"</f>
        <v>jiná právnická osoba (vč. obce a kraje)</v>
      </c>
      <c r="J171" t="str">
        <f>"OPO"</f>
        <v>OPO</v>
      </c>
      <c r="K171" t="str">
        <f>"1"</f>
        <v>1</v>
      </c>
      <c r="L171" t="str">
        <f>"Vlastnické právo"</f>
        <v>Vlastnické právo</v>
      </c>
    </row>
    <row r="172" spans="1:12" x14ac:dyDescent="0.25">
      <c r="A172" t="str">
        <f>"Darkov"</f>
        <v>Darkov</v>
      </c>
      <c r="B172" t="str">
        <f>"719/2"</f>
        <v>719/2</v>
      </c>
      <c r="C172" t="str">
        <f>"2289"</f>
        <v>2289</v>
      </c>
      <c r="D172" t="str">
        <f>"lesní pozemek"</f>
        <v>lesní pozemek</v>
      </c>
      <c r="E172" t="str">
        <f>"les jiný než hospodářský"</f>
        <v>les jiný než hospodářský</v>
      </c>
      <c r="F172" t="str">
        <f>"10001"</f>
        <v>10001</v>
      </c>
      <c r="G172" t="str">
        <f>"Statutární město Karviná"</f>
        <v>Statutární město Karviná</v>
      </c>
      <c r="H172" t="str">
        <f>"297534"</f>
        <v>297534</v>
      </c>
      <c r="I172" t="str">
        <f>"jiná právnická osoba (vč. obce a kraje)"</f>
        <v>jiná právnická osoba (vč. obce a kraje)</v>
      </c>
      <c r="J172" t="str">
        <f>"OPO"</f>
        <v>OPO</v>
      </c>
      <c r="K172" t="str">
        <f>"1"</f>
        <v>1</v>
      </c>
      <c r="L172" t="str">
        <f>"Vlastnické právo"</f>
        <v>Vlastnické právo</v>
      </c>
    </row>
    <row r="173" spans="1:12" x14ac:dyDescent="0.25">
      <c r="A173" t="str">
        <f>"Darkov"</f>
        <v>Darkov</v>
      </c>
      <c r="B173" t="str">
        <f>"737"</f>
        <v>737</v>
      </c>
      <c r="C173" t="str">
        <f>"20216"</f>
        <v>20216</v>
      </c>
      <c r="D173" t="str">
        <f>"lesní pozemek"</f>
        <v>lesní pozemek</v>
      </c>
      <c r="E173" t="str">
        <f>"les jiný než hospodářský"</f>
        <v>les jiný než hospodářský</v>
      </c>
      <c r="F173" t="str">
        <f>"10001"</f>
        <v>10001</v>
      </c>
      <c r="G173" t="str">
        <f>"Statutární město Karviná"</f>
        <v>Statutární město Karviná</v>
      </c>
      <c r="H173" t="str">
        <f>"297534"</f>
        <v>297534</v>
      </c>
      <c r="I173" t="str">
        <f>"jiná právnická osoba (vč. obce a kraje)"</f>
        <v>jiná právnická osoba (vč. obce a kraje)</v>
      </c>
      <c r="J173" t="str">
        <f>"OPO"</f>
        <v>OPO</v>
      </c>
      <c r="K173" t="str">
        <f>"1"</f>
        <v>1</v>
      </c>
      <c r="L173" t="str">
        <f>"Vlastnické právo"</f>
        <v>Vlastnické právo</v>
      </c>
    </row>
    <row r="174" spans="1:12" x14ac:dyDescent="0.25">
      <c r="A174" t="str">
        <f>"Darkov"</f>
        <v>Darkov</v>
      </c>
      <c r="B174" t="str">
        <f>"738/1"</f>
        <v>738/1</v>
      </c>
      <c r="C174" t="str">
        <f>"1400"</f>
        <v>1400</v>
      </c>
      <c r="D174" t="str">
        <f>"lesní pozemek"</f>
        <v>lesní pozemek</v>
      </c>
      <c r="E174" t="str">
        <f>"les jiný než hospodářský"</f>
        <v>les jiný než hospodářský</v>
      </c>
      <c r="F174" t="str">
        <f>"10001"</f>
        <v>10001</v>
      </c>
      <c r="G174" t="str">
        <f>"Statutární město Karviná"</f>
        <v>Statutární město Karviná</v>
      </c>
      <c r="H174" t="str">
        <f>"297534"</f>
        <v>297534</v>
      </c>
      <c r="I174" t="str">
        <f>"jiná právnická osoba (vč. obce a kraje)"</f>
        <v>jiná právnická osoba (vč. obce a kraje)</v>
      </c>
      <c r="J174" t="str">
        <f>"OPO"</f>
        <v>OPO</v>
      </c>
      <c r="K174" t="str">
        <f>"1"</f>
        <v>1</v>
      </c>
      <c r="L174" t="str">
        <f>"Vlastnické právo"</f>
        <v>Vlastnické právo</v>
      </c>
    </row>
    <row r="175" spans="1:12" x14ac:dyDescent="0.25">
      <c r="A175" t="str">
        <f>"Darkov"</f>
        <v>Darkov</v>
      </c>
      <c r="B175" t="str">
        <f>"738/2"</f>
        <v>738/2</v>
      </c>
      <c r="C175" t="str">
        <f>"551"</f>
        <v>551</v>
      </c>
      <c r="D175" t="str">
        <f>"lesní pozemek"</f>
        <v>lesní pozemek</v>
      </c>
      <c r="E175" t="str">
        <f>"les jiný než hospodářský"</f>
        <v>les jiný než hospodářský</v>
      </c>
      <c r="F175" t="str">
        <f>"10001"</f>
        <v>10001</v>
      </c>
      <c r="G175" t="str">
        <f>"Statutární město Karviná"</f>
        <v>Statutární město Karviná</v>
      </c>
      <c r="H175" t="str">
        <f>"297534"</f>
        <v>297534</v>
      </c>
      <c r="I175" t="str">
        <f>"jiná právnická osoba (vč. obce a kraje)"</f>
        <v>jiná právnická osoba (vč. obce a kraje)</v>
      </c>
      <c r="J175" t="str">
        <f>"OPO"</f>
        <v>OPO</v>
      </c>
      <c r="K175" t="str">
        <f>"1"</f>
        <v>1</v>
      </c>
      <c r="L175" t="str">
        <f>"Vlastnické právo"</f>
        <v>Vlastnické právo</v>
      </c>
    </row>
    <row r="176" spans="1:12" x14ac:dyDescent="0.25">
      <c r="A176" t="str">
        <f>"Darkov"</f>
        <v>Darkov</v>
      </c>
      <c r="B176" t="str">
        <f>"738/3"</f>
        <v>738/3</v>
      </c>
      <c r="C176" t="str">
        <f>"246"</f>
        <v>246</v>
      </c>
      <c r="D176" t="str">
        <f>"lesní pozemek"</f>
        <v>lesní pozemek</v>
      </c>
      <c r="E176" t="str">
        <f>"les jiný než hospodářský"</f>
        <v>les jiný než hospodářský</v>
      </c>
      <c r="F176" t="str">
        <f>"10001"</f>
        <v>10001</v>
      </c>
      <c r="G176" t="str">
        <f>"Statutární město Karviná"</f>
        <v>Statutární město Karviná</v>
      </c>
      <c r="H176" t="str">
        <f>"297534"</f>
        <v>297534</v>
      </c>
      <c r="I176" t="str">
        <f>"jiná právnická osoba (vč. obce a kraje)"</f>
        <v>jiná právnická osoba (vč. obce a kraje)</v>
      </c>
      <c r="J176" t="str">
        <f>"OPO"</f>
        <v>OPO</v>
      </c>
      <c r="K176" t="str">
        <f>"1"</f>
        <v>1</v>
      </c>
      <c r="L176" t="str">
        <f>"Vlastnické právo"</f>
        <v>Vlastnické právo</v>
      </c>
    </row>
    <row r="177" spans="1:12" x14ac:dyDescent="0.25">
      <c r="A177" t="str">
        <f>"Darkov"</f>
        <v>Darkov</v>
      </c>
      <c r="B177" t="str">
        <f>"739/1"</f>
        <v>739/1</v>
      </c>
      <c r="C177" t="str">
        <f>"439"</f>
        <v>439</v>
      </c>
      <c r="D177" t="str">
        <f>"lesní pozemek"</f>
        <v>lesní pozemek</v>
      </c>
      <c r="E177" t="str">
        <f>"les jiný než hospodářský"</f>
        <v>les jiný než hospodářský</v>
      </c>
      <c r="F177" t="str">
        <f>"10001"</f>
        <v>10001</v>
      </c>
      <c r="G177" t="str">
        <f>"Statutární město Karviná"</f>
        <v>Statutární město Karviná</v>
      </c>
      <c r="H177" t="str">
        <f>"297534"</f>
        <v>297534</v>
      </c>
      <c r="I177" t="str">
        <f>"jiná právnická osoba (vč. obce a kraje)"</f>
        <v>jiná právnická osoba (vč. obce a kraje)</v>
      </c>
      <c r="J177" t="str">
        <f>"OPO"</f>
        <v>OPO</v>
      </c>
      <c r="K177" t="str">
        <f>"1"</f>
        <v>1</v>
      </c>
      <c r="L177" t="str">
        <f>"Vlastnické právo"</f>
        <v>Vlastnické právo</v>
      </c>
    </row>
    <row r="178" spans="1:12" x14ac:dyDescent="0.25">
      <c r="A178" t="str">
        <f>"Darkov"</f>
        <v>Darkov</v>
      </c>
      <c r="B178" t="str">
        <f>"741/1"</f>
        <v>741/1</v>
      </c>
      <c r="C178" t="str">
        <f>"2450"</f>
        <v>2450</v>
      </c>
      <c r="D178" t="str">
        <f>"lesní pozemek"</f>
        <v>lesní pozemek</v>
      </c>
      <c r="E178" t="str">
        <f>"les jiný než hospodářský"</f>
        <v>les jiný než hospodářský</v>
      </c>
      <c r="F178" t="str">
        <f>"10001"</f>
        <v>10001</v>
      </c>
      <c r="G178" t="str">
        <f>"Statutární město Karviná"</f>
        <v>Statutární město Karviná</v>
      </c>
      <c r="H178" t="str">
        <f>"297534"</f>
        <v>297534</v>
      </c>
      <c r="I178" t="str">
        <f>"jiná právnická osoba (vč. obce a kraje)"</f>
        <v>jiná právnická osoba (vč. obce a kraje)</v>
      </c>
      <c r="J178" t="str">
        <f>"OPO"</f>
        <v>OPO</v>
      </c>
      <c r="K178" t="str">
        <f>"1"</f>
        <v>1</v>
      </c>
      <c r="L178" t="str">
        <f>"Vlastnické právo"</f>
        <v>Vlastnické právo</v>
      </c>
    </row>
    <row r="179" spans="1:12" x14ac:dyDescent="0.25">
      <c r="A179" t="str">
        <f>"Darkov"</f>
        <v>Darkov</v>
      </c>
      <c r="B179" t="str">
        <f>"741/2"</f>
        <v>741/2</v>
      </c>
      <c r="C179" t="str">
        <f>"3386"</f>
        <v>3386</v>
      </c>
      <c r="D179" t="str">
        <f>"lesní pozemek"</f>
        <v>lesní pozemek</v>
      </c>
      <c r="E179" t="str">
        <f>"les jiný než hospodářský"</f>
        <v>les jiný než hospodářský</v>
      </c>
      <c r="F179" t="str">
        <f>"10001"</f>
        <v>10001</v>
      </c>
      <c r="G179" t="str">
        <f>"Statutární město Karviná"</f>
        <v>Statutární město Karviná</v>
      </c>
      <c r="H179" t="str">
        <f>"297534"</f>
        <v>297534</v>
      </c>
      <c r="I179" t="str">
        <f>"jiná právnická osoba (vč. obce a kraje)"</f>
        <v>jiná právnická osoba (vč. obce a kraje)</v>
      </c>
      <c r="J179" t="str">
        <f>"OPO"</f>
        <v>OPO</v>
      </c>
      <c r="K179" t="str">
        <f>"1"</f>
        <v>1</v>
      </c>
      <c r="L179" t="str">
        <f>"Vlastnické právo"</f>
        <v>Vlastnické právo</v>
      </c>
    </row>
    <row r="180" spans="1:12" x14ac:dyDescent="0.25">
      <c r="A180" t="str">
        <f>"Darkov"</f>
        <v>Darkov</v>
      </c>
      <c r="B180" t="str">
        <f>"741/3"</f>
        <v>741/3</v>
      </c>
      <c r="C180" t="str">
        <f>"3379"</f>
        <v>3379</v>
      </c>
      <c r="D180" t="str">
        <f>"lesní pozemek"</f>
        <v>lesní pozemek</v>
      </c>
      <c r="E180" t="str">
        <f>"les jiný než hospodářský"</f>
        <v>les jiný než hospodářský</v>
      </c>
      <c r="F180" t="str">
        <f>"10001"</f>
        <v>10001</v>
      </c>
      <c r="G180" t="str">
        <f>"Statutární město Karviná"</f>
        <v>Statutární město Karviná</v>
      </c>
      <c r="H180" t="str">
        <f>"297534"</f>
        <v>297534</v>
      </c>
      <c r="I180" t="str">
        <f>"jiná právnická osoba (vč. obce a kraje)"</f>
        <v>jiná právnická osoba (vč. obce a kraje)</v>
      </c>
      <c r="J180" t="str">
        <f>"OPO"</f>
        <v>OPO</v>
      </c>
      <c r="K180" t="str">
        <f>"1"</f>
        <v>1</v>
      </c>
      <c r="L180" t="str">
        <f>"Vlastnické právo"</f>
        <v>Vlastnické právo</v>
      </c>
    </row>
    <row r="181" spans="1:12" x14ac:dyDescent="0.25">
      <c r="A181" t="str">
        <f>"Darkov"</f>
        <v>Darkov</v>
      </c>
      <c r="B181" t="str">
        <f>"741/4"</f>
        <v>741/4</v>
      </c>
      <c r="C181" t="str">
        <f>"3160"</f>
        <v>3160</v>
      </c>
      <c r="D181" t="str">
        <f>"lesní pozemek"</f>
        <v>lesní pozemek</v>
      </c>
      <c r="E181" t="str">
        <f>"les jiný než hospodářský"</f>
        <v>les jiný než hospodářský</v>
      </c>
      <c r="F181" t="str">
        <f>"10001"</f>
        <v>10001</v>
      </c>
      <c r="G181" t="str">
        <f>"Statutární město Karviná"</f>
        <v>Statutární město Karviná</v>
      </c>
      <c r="H181" t="str">
        <f>"297534"</f>
        <v>297534</v>
      </c>
      <c r="I181" t="str">
        <f>"jiná právnická osoba (vč. obce a kraje)"</f>
        <v>jiná právnická osoba (vč. obce a kraje)</v>
      </c>
      <c r="J181" t="str">
        <f>"OPO"</f>
        <v>OPO</v>
      </c>
      <c r="K181" t="str">
        <f>"1"</f>
        <v>1</v>
      </c>
      <c r="L181" t="str">
        <f>"Vlastnické právo"</f>
        <v>Vlastnické právo</v>
      </c>
    </row>
    <row r="182" spans="1:12" x14ac:dyDescent="0.25">
      <c r="A182" t="str">
        <f>"Darkov"</f>
        <v>Darkov</v>
      </c>
      <c r="B182" t="str">
        <f>"741/5"</f>
        <v>741/5</v>
      </c>
      <c r="C182" t="str">
        <f>"3237"</f>
        <v>3237</v>
      </c>
      <c r="D182" t="str">
        <f>"lesní pozemek"</f>
        <v>lesní pozemek</v>
      </c>
      <c r="E182" t="str">
        <f>"les jiný než hospodářský"</f>
        <v>les jiný než hospodářský</v>
      </c>
      <c r="F182" t="str">
        <f>"10001"</f>
        <v>10001</v>
      </c>
      <c r="G182" t="str">
        <f>"Statutární město Karviná"</f>
        <v>Statutární město Karviná</v>
      </c>
      <c r="H182" t="str">
        <f>"297534"</f>
        <v>297534</v>
      </c>
      <c r="I182" t="str">
        <f>"jiná právnická osoba (vč. obce a kraje)"</f>
        <v>jiná právnická osoba (vč. obce a kraje)</v>
      </c>
      <c r="J182" t="str">
        <f>"OPO"</f>
        <v>OPO</v>
      </c>
      <c r="K182" t="str">
        <f>"1"</f>
        <v>1</v>
      </c>
      <c r="L182" t="str">
        <f>"Vlastnické právo"</f>
        <v>Vlastnické právo</v>
      </c>
    </row>
    <row r="183" spans="1:12" x14ac:dyDescent="0.25">
      <c r="A183" t="str">
        <f>"Darkov"</f>
        <v>Darkov</v>
      </c>
      <c r="B183" t="str">
        <f>"741/6"</f>
        <v>741/6</v>
      </c>
      <c r="C183" t="str">
        <f>"3271"</f>
        <v>3271</v>
      </c>
      <c r="D183" t="str">
        <f>"lesní pozemek"</f>
        <v>lesní pozemek</v>
      </c>
      <c r="E183" t="str">
        <f>"les jiný než hospodářský"</f>
        <v>les jiný než hospodářský</v>
      </c>
      <c r="F183" t="str">
        <f>"10001"</f>
        <v>10001</v>
      </c>
      <c r="G183" t="str">
        <f>"Statutární město Karviná"</f>
        <v>Statutární město Karviná</v>
      </c>
      <c r="H183" t="str">
        <f>"297534"</f>
        <v>297534</v>
      </c>
      <c r="I183" t="str">
        <f>"jiná právnická osoba (vč. obce a kraje)"</f>
        <v>jiná právnická osoba (vč. obce a kraje)</v>
      </c>
      <c r="J183" t="str">
        <f>"OPO"</f>
        <v>OPO</v>
      </c>
      <c r="K183" t="str">
        <f>"1"</f>
        <v>1</v>
      </c>
      <c r="L183" t="str">
        <f>"Vlastnické právo"</f>
        <v>Vlastnické právo</v>
      </c>
    </row>
    <row r="184" spans="1:12" x14ac:dyDescent="0.25">
      <c r="A184" t="str">
        <f>"Darkov"</f>
        <v>Darkov</v>
      </c>
      <c r="B184" t="str">
        <f>"741/7"</f>
        <v>741/7</v>
      </c>
      <c r="C184" t="str">
        <f>"3407"</f>
        <v>3407</v>
      </c>
      <c r="D184" t="str">
        <f>"lesní pozemek"</f>
        <v>lesní pozemek</v>
      </c>
      <c r="E184" t="str">
        <f>"les jiný než hospodářský"</f>
        <v>les jiný než hospodářský</v>
      </c>
      <c r="F184" t="str">
        <f>"10001"</f>
        <v>10001</v>
      </c>
      <c r="G184" t="str">
        <f>"Statutární město Karviná"</f>
        <v>Statutární město Karviná</v>
      </c>
      <c r="H184" t="str">
        <f>"297534"</f>
        <v>297534</v>
      </c>
      <c r="I184" t="str">
        <f>"jiná právnická osoba (vč. obce a kraje)"</f>
        <v>jiná právnická osoba (vč. obce a kraje)</v>
      </c>
      <c r="J184" t="str">
        <f>"OPO"</f>
        <v>OPO</v>
      </c>
      <c r="K184" t="str">
        <f>"1"</f>
        <v>1</v>
      </c>
      <c r="L184" t="str">
        <f>"Vlastnické právo"</f>
        <v>Vlastnické právo</v>
      </c>
    </row>
    <row r="185" spans="1:12" x14ac:dyDescent="0.25">
      <c r="A185" t="str">
        <f>"Darkov"</f>
        <v>Darkov</v>
      </c>
      <c r="B185" t="str">
        <f>"741/8"</f>
        <v>741/8</v>
      </c>
      <c r="C185" t="str">
        <f>"1992"</f>
        <v>1992</v>
      </c>
      <c r="D185" t="str">
        <f>"lesní pozemek"</f>
        <v>lesní pozemek</v>
      </c>
      <c r="E185" t="str">
        <f>"les jiný než hospodářský"</f>
        <v>les jiný než hospodářský</v>
      </c>
      <c r="F185" t="str">
        <f>"10001"</f>
        <v>10001</v>
      </c>
      <c r="G185" t="str">
        <f>"Statutární město Karviná"</f>
        <v>Statutární město Karviná</v>
      </c>
      <c r="H185" t="str">
        <f>"297534"</f>
        <v>297534</v>
      </c>
      <c r="I185" t="str">
        <f>"jiná právnická osoba (vč. obce a kraje)"</f>
        <v>jiná právnická osoba (vč. obce a kraje)</v>
      </c>
      <c r="J185" t="str">
        <f>"OPO"</f>
        <v>OPO</v>
      </c>
      <c r="K185" t="str">
        <f>"1"</f>
        <v>1</v>
      </c>
      <c r="L185" t="str">
        <f>"Vlastnické právo"</f>
        <v>Vlastnické právo</v>
      </c>
    </row>
    <row r="186" spans="1:12" x14ac:dyDescent="0.25">
      <c r="A186" t="str">
        <f>"Darkov"</f>
        <v>Darkov</v>
      </c>
      <c r="B186" t="str">
        <f>"741/9"</f>
        <v>741/9</v>
      </c>
      <c r="C186" t="str">
        <f>"996"</f>
        <v>996</v>
      </c>
      <c r="D186" t="str">
        <f>"lesní pozemek"</f>
        <v>lesní pozemek</v>
      </c>
      <c r="E186" t="str">
        <f>"les jiný než hospodářský"</f>
        <v>les jiný než hospodářský</v>
      </c>
      <c r="F186" t="str">
        <f>"10001"</f>
        <v>10001</v>
      </c>
      <c r="G186" t="str">
        <f>"Statutární město Karviná"</f>
        <v>Statutární město Karviná</v>
      </c>
      <c r="H186" t="str">
        <f>"297534"</f>
        <v>297534</v>
      </c>
      <c r="I186" t="str">
        <f>"jiná právnická osoba (vč. obce a kraje)"</f>
        <v>jiná právnická osoba (vč. obce a kraje)</v>
      </c>
      <c r="J186" t="str">
        <f>"OPO"</f>
        <v>OPO</v>
      </c>
      <c r="K186" t="str">
        <f>"1"</f>
        <v>1</v>
      </c>
      <c r="L186" t="str">
        <f>"Vlastnické právo"</f>
        <v>Vlastnické právo</v>
      </c>
    </row>
    <row r="187" spans="1:12" x14ac:dyDescent="0.25">
      <c r="A187" t="str">
        <f>"Darkov"</f>
        <v>Darkov</v>
      </c>
      <c r="B187" t="str">
        <f>"741/10"</f>
        <v>741/10</v>
      </c>
      <c r="C187" t="str">
        <f>"851"</f>
        <v>851</v>
      </c>
      <c r="D187" t="str">
        <f>"lesní pozemek"</f>
        <v>lesní pozemek</v>
      </c>
      <c r="E187" t="str">
        <f>"les jiný než hospodářský"</f>
        <v>les jiný než hospodářský</v>
      </c>
      <c r="F187" t="str">
        <f>"10001"</f>
        <v>10001</v>
      </c>
      <c r="G187" t="str">
        <f>"Statutární město Karviná"</f>
        <v>Statutární město Karviná</v>
      </c>
      <c r="H187" t="str">
        <f>"297534"</f>
        <v>297534</v>
      </c>
      <c r="I187" t="str">
        <f>"jiná právnická osoba (vč. obce a kraje)"</f>
        <v>jiná právnická osoba (vč. obce a kraje)</v>
      </c>
      <c r="J187" t="str">
        <f>"OPO"</f>
        <v>OPO</v>
      </c>
      <c r="K187" t="str">
        <f>"1"</f>
        <v>1</v>
      </c>
      <c r="L187" t="str">
        <f>"Vlastnické právo"</f>
        <v>Vlastnické právo</v>
      </c>
    </row>
    <row r="188" spans="1:12" x14ac:dyDescent="0.25">
      <c r="A188" t="str">
        <f>"Darkov"</f>
        <v>Darkov</v>
      </c>
      <c r="B188" t="str">
        <f>"741/11"</f>
        <v>741/11</v>
      </c>
      <c r="C188" t="str">
        <f>"1096"</f>
        <v>1096</v>
      </c>
      <c r="D188" t="str">
        <f>"lesní pozemek"</f>
        <v>lesní pozemek</v>
      </c>
      <c r="E188" t="str">
        <f>"les jiný než hospodářský"</f>
        <v>les jiný než hospodářský</v>
      </c>
      <c r="F188" t="str">
        <f>"10001"</f>
        <v>10001</v>
      </c>
      <c r="G188" t="str">
        <f>"Statutární město Karviná"</f>
        <v>Statutární město Karviná</v>
      </c>
      <c r="H188" t="str">
        <f>"297534"</f>
        <v>297534</v>
      </c>
      <c r="I188" t="str">
        <f>"jiná právnická osoba (vč. obce a kraje)"</f>
        <v>jiná právnická osoba (vč. obce a kraje)</v>
      </c>
      <c r="J188" t="str">
        <f>"OPO"</f>
        <v>OPO</v>
      </c>
      <c r="K188" t="str">
        <f>"1"</f>
        <v>1</v>
      </c>
      <c r="L188" t="str">
        <f>"Vlastnické právo"</f>
        <v>Vlastnické právo</v>
      </c>
    </row>
    <row r="189" spans="1:12" x14ac:dyDescent="0.25">
      <c r="A189" t="str">
        <f>"Darkov"</f>
        <v>Darkov</v>
      </c>
      <c r="B189" t="str">
        <f>"741/12"</f>
        <v>741/12</v>
      </c>
      <c r="C189" t="str">
        <f>"1076"</f>
        <v>1076</v>
      </c>
      <c r="D189" t="str">
        <f>"lesní pozemek"</f>
        <v>lesní pozemek</v>
      </c>
      <c r="E189" t="str">
        <f>"les jiný než hospodářský"</f>
        <v>les jiný než hospodářský</v>
      </c>
      <c r="F189" t="str">
        <f>"10001"</f>
        <v>10001</v>
      </c>
      <c r="G189" t="str">
        <f>"Statutární město Karviná"</f>
        <v>Statutární město Karviná</v>
      </c>
      <c r="H189" t="str">
        <f>"297534"</f>
        <v>297534</v>
      </c>
      <c r="I189" t="str">
        <f>"jiná právnická osoba (vč. obce a kraje)"</f>
        <v>jiná právnická osoba (vč. obce a kraje)</v>
      </c>
      <c r="J189" t="str">
        <f>"OPO"</f>
        <v>OPO</v>
      </c>
      <c r="K189" t="str">
        <f>"1"</f>
        <v>1</v>
      </c>
      <c r="L189" t="str">
        <f>"Vlastnické právo"</f>
        <v>Vlastnické právo</v>
      </c>
    </row>
    <row r="190" spans="1:12" x14ac:dyDescent="0.25">
      <c r="A190" t="str">
        <f>"Darkov"</f>
        <v>Darkov</v>
      </c>
      <c r="B190" t="str">
        <f>"741/13"</f>
        <v>741/13</v>
      </c>
      <c r="C190" t="str">
        <f>"2659"</f>
        <v>2659</v>
      </c>
      <c r="D190" t="str">
        <f>"lesní pozemek"</f>
        <v>lesní pozemek</v>
      </c>
      <c r="E190" t="str">
        <f>"les jiný než hospodářský"</f>
        <v>les jiný než hospodářský</v>
      </c>
      <c r="F190" t="str">
        <f>"10001"</f>
        <v>10001</v>
      </c>
      <c r="G190" t="str">
        <f>"Statutární město Karviná"</f>
        <v>Statutární město Karviná</v>
      </c>
      <c r="H190" t="str">
        <f>"297534"</f>
        <v>297534</v>
      </c>
      <c r="I190" t="str">
        <f>"jiná právnická osoba (vč. obce a kraje)"</f>
        <v>jiná právnická osoba (vč. obce a kraje)</v>
      </c>
      <c r="J190" t="str">
        <f>"OPO"</f>
        <v>OPO</v>
      </c>
      <c r="K190" t="str">
        <f>"1"</f>
        <v>1</v>
      </c>
      <c r="L190" t="str">
        <f>"Vlastnické právo"</f>
        <v>Vlastnické právo</v>
      </c>
    </row>
    <row r="191" spans="1:12" x14ac:dyDescent="0.25">
      <c r="A191" t="str">
        <f>"Darkov"</f>
        <v>Darkov</v>
      </c>
      <c r="B191" t="str">
        <f>"741/14"</f>
        <v>741/14</v>
      </c>
      <c r="C191" t="str">
        <f>"611"</f>
        <v>611</v>
      </c>
      <c r="D191" t="str">
        <f>"lesní pozemek"</f>
        <v>lesní pozemek</v>
      </c>
      <c r="E191" t="str">
        <f>"les jiný než hospodářský"</f>
        <v>les jiný než hospodářský</v>
      </c>
      <c r="F191" t="str">
        <f>"10001"</f>
        <v>10001</v>
      </c>
      <c r="G191" t="str">
        <f>"Statutární město Karviná"</f>
        <v>Statutární město Karviná</v>
      </c>
      <c r="H191" t="str">
        <f>"297534"</f>
        <v>297534</v>
      </c>
      <c r="I191" t="str">
        <f>"jiná právnická osoba (vč. obce a kraje)"</f>
        <v>jiná právnická osoba (vč. obce a kraje)</v>
      </c>
      <c r="J191" t="str">
        <f>"OPO"</f>
        <v>OPO</v>
      </c>
      <c r="K191" t="str">
        <f>"1"</f>
        <v>1</v>
      </c>
      <c r="L191" t="str">
        <f>"Vlastnické právo"</f>
        <v>Vlastnické právo</v>
      </c>
    </row>
    <row r="192" spans="1:12" x14ac:dyDescent="0.25">
      <c r="A192" t="str">
        <f>"Darkov"</f>
        <v>Darkov</v>
      </c>
      <c r="B192" t="str">
        <f>"741/15"</f>
        <v>741/15</v>
      </c>
      <c r="C192" t="str">
        <f>"2050"</f>
        <v>2050</v>
      </c>
      <c r="D192" t="str">
        <f>"lesní pozemek"</f>
        <v>lesní pozemek</v>
      </c>
      <c r="E192" t="str">
        <f>"les jiný než hospodářský"</f>
        <v>les jiný než hospodářský</v>
      </c>
      <c r="F192" t="str">
        <f>"10001"</f>
        <v>10001</v>
      </c>
      <c r="G192" t="str">
        <f>"Statutární město Karviná"</f>
        <v>Statutární město Karviná</v>
      </c>
      <c r="H192" t="str">
        <f>"297534"</f>
        <v>297534</v>
      </c>
      <c r="I192" t="str">
        <f>"jiná právnická osoba (vč. obce a kraje)"</f>
        <v>jiná právnická osoba (vč. obce a kraje)</v>
      </c>
      <c r="J192" t="str">
        <f>"OPO"</f>
        <v>OPO</v>
      </c>
      <c r="K192" t="str">
        <f>"1"</f>
        <v>1</v>
      </c>
      <c r="L192" t="str">
        <f>"Vlastnické právo"</f>
        <v>Vlastnické právo</v>
      </c>
    </row>
    <row r="193" spans="1:12" x14ac:dyDescent="0.25">
      <c r="A193" t="str">
        <f>"Darkov"</f>
        <v>Darkov</v>
      </c>
      <c r="B193" t="str">
        <f>"741/16"</f>
        <v>741/16</v>
      </c>
      <c r="C193" t="str">
        <f>"387"</f>
        <v>387</v>
      </c>
      <c r="D193" t="str">
        <f>"lesní pozemek"</f>
        <v>lesní pozemek</v>
      </c>
      <c r="E193" t="str">
        <f>"les jiný než hospodářský"</f>
        <v>les jiný než hospodářský</v>
      </c>
      <c r="F193" t="str">
        <f>"10001"</f>
        <v>10001</v>
      </c>
      <c r="G193" t="str">
        <f>"Statutární město Karviná"</f>
        <v>Statutární město Karviná</v>
      </c>
      <c r="H193" t="str">
        <f>"297534"</f>
        <v>297534</v>
      </c>
      <c r="I193" t="str">
        <f>"jiná právnická osoba (vč. obce a kraje)"</f>
        <v>jiná právnická osoba (vč. obce a kraje)</v>
      </c>
      <c r="J193" t="str">
        <f>"OPO"</f>
        <v>OPO</v>
      </c>
      <c r="K193" t="str">
        <f>"1"</f>
        <v>1</v>
      </c>
      <c r="L193" t="str">
        <f>"Vlastnické právo"</f>
        <v>Vlastnické právo</v>
      </c>
    </row>
    <row r="194" spans="1:12" x14ac:dyDescent="0.25">
      <c r="A194" t="str">
        <f>"Darkov"</f>
        <v>Darkov</v>
      </c>
      <c r="B194" t="str">
        <f>"741/17"</f>
        <v>741/17</v>
      </c>
      <c r="C194" t="str">
        <f>"1484"</f>
        <v>1484</v>
      </c>
      <c r="D194" t="str">
        <f>"lesní pozemek"</f>
        <v>lesní pozemek</v>
      </c>
      <c r="E194" t="str">
        <f>"les jiný než hospodářský"</f>
        <v>les jiný než hospodářský</v>
      </c>
      <c r="F194" t="str">
        <f>"10001"</f>
        <v>10001</v>
      </c>
      <c r="G194" t="str">
        <f>"Statutární město Karviná"</f>
        <v>Statutární město Karviná</v>
      </c>
      <c r="H194" t="str">
        <f>"297534"</f>
        <v>297534</v>
      </c>
      <c r="I194" t="str">
        <f>"jiná právnická osoba (vč. obce a kraje)"</f>
        <v>jiná právnická osoba (vč. obce a kraje)</v>
      </c>
      <c r="J194" t="str">
        <f>"OPO"</f>
        <v>OPO</v>
      </c>
      <c r="K194" t="str">
        <f>"1"</f>
        <v>1</v>
      </c>
      <c r="L194" t="str">
        <f>"Vlastnické právo"</f>
        <v>Vlastnické právo</v>
      </c>
    </row>
    <row r="195" spans="1:12" x14ac:dyDescent="0.25">
      <c r="A195" t="str">
        <f>"Darkov"</f>
        <v>Darkov</v>
      </c>
      <c r="B195" t="str">
        <f>"741/18"</f>
        <v>741/18</v>
      </c>
      <c r="C195" t="str">
        <f>"711"</f>
        <v>711</v>
      </c>
      <c r="D195" t="str">
        <f>"lesní pozemek"</f>
        <v>lesní pozemek</v>
      </c>
      <c r="E195" t="str">
        <f>"les jiný než hospodářský"</f>
        <v>les jiný než hospodářský</v>
      </c>
      <c r="F195" t="str">
        <f>"10001"</f>
        <v>10001</v>
      </c>
      <c r="G195" t="str">
        <f>"Statutární město Karviná"</f>
        <v>Statutární město Karviná</v>
      </c>
      <c r="H195" t="str">
        <f>"297534"</f>
        <v>297534</v>
      </c>
      <c r="I195" t="str">
        <f>"jiná právnická osoba (vč. obce a kraje)"</f>
        <v>jiná právnická osoba (vč. obce a kraje)</v>
      </c>
      <c r="J195" t="str">
        <f>"OPO"</f>
        <v>OPO</v>
      </c>
      <c r="K195" t="str">
        <f>"1"</f>
        <v>1</v>
      </c>
      <c r="L195" t="str">
        <f>"Vlastnické právo"</f>
        <v>Vlastnické právo</v>
      </c>
    </row>
    <row r="196" spans="1:12" x14ac:dyDescent="0.25">
      <c r="A196" t="str">
        <f>"Darkov"</f>
        <v>Darkov</v>
      </c>
      <c r="B196" t="str">
        <f>"741/19"</f>
        <v>741/19</v>
      </c>
      <c r="C196" t="str">
        <f>"1430"</f>
        <v>1430</v>
      </c>
      <c r="D196" t="str">
        <f>"lesní pozemek"</f>
        <v>lesní pozemek</v>
      </c>
      <c r="E196" t="str">
        <f>"les jiný než hospodářský"</f>
        <v>les jiný než hospodářský</v>
      </c>
      <c r="F196" t="str">
        <f>"10001"</f>
        <v>10001</v>
      </c>
      <c r="G196" t="str">
        <f>"Statutární město Karviná"</f>
        <v>Statutární město Karviná</v>
      </c>
      <c r="H196" t="str">
        <f>"297534"</f>
        <v>297534</v>
      </c>
      <c r="I196" t="str">
        <f>"jiná právnická osoba (vč. obce a kraje)"</f>
        <v>jiná právnická osoba (vč. obce a kraje)</v>
      </c>
      <c r="J196" t="str">
        <f>"OPO"</f>
        <v>OPO</v>
      </c>
      <c r="K196" t="str">
        <f>"1"</f>
        <v>1</v>
      </c>
      <c r="L196" t="str">
        <f>"Vlastnické právo"</f>
        <v>Vlastnické právo</v>
      </c>
    </row>
    <row r="197" spans="1:12" x14ac:dyDescent="0.25">
      <c r="A197" t="str">
        <f>"Darkov"</f>
        <v>Darkov</v>
      </c>
      <c r="B197" t="str">
        <f>"741/20"</f>
        <v>741/20</v>
      </c>
      <c r="C197" t="str">
        <f>"1405"</f>
        <v>1405</v>
      </c>
      <c r="D197" t="str">
        <f>"lesní pozemek"</f>
        <v>lesní pozemek</v>
      </c>
      <c r="E197" t="str">
        <f>"les jiný než hospodářský"</f>
        <v>les jiný než hospodářský</v>
      </c>
      <c r="F197" t="str">
        <f>"10001"</f>
        <v>10001</v>
      </c>
      <c r="G197" t="str">
        <f>"Statutární město Karviná"</f>
        <v>Statutární město Karviná</v>
      </c>
      <c r="H197" t="str">
        <f>"297534"</f>
        <v>297534</v>
      </c>
      <c r="I197" t="str">
        <f>"jiná právnická osoba (vč. obce a kraje)"</f>
        <v>jiná právnická osoba (vč. obce a kraje)</v>
      </c>
      <c r="J197" t="str">
        <f>"OPO"</f>
        <v>OPO</v>
      </c>
      <c r="K197" t="str">
        <f>"1"</f>
        <v>1</v>
      </c>
      <c r="L197" t="str">
        <f>"Vlastnické právo"</f>
        <v>Vlastnické právo</v>
      </c>
    </row>
    <row r="198" spans="1:12" x14ac:dyDescent="0.25">
      <c r="A198" t="str">
        <f>"Darkov"</f>
        <v>Darkov</v>
      </c>
      <c r="B198" t="str">
        <f>"741/21"</f>
        <v>741/21</v>
      </c>
      <c r="C198" t="str">
        <f>"3631"</f>
        <v>3631</v>
      </c>
      <c r="D198" t="str">
        <f>"lesní pozemek"</f>
        <v>lesní pozemek</v>
      </c>
      <c r="E198" t="str">
        <f>"les jiný než hospodářský"</f>
        <v>les jiný než hospodářský</v>
      </c>
      <c r="F198" t="str">
        <f>"10001"</f>
        <v>10001</v>
      </c>
      <c r="G198" t="str">
        <f>"Statutární město Karviná"</f>
        <v>Statutární město Karviná</v>
      </c>
      <c r="H198" t="str">
        <f>"297534"</f>
        <v>297534</v>
      </c>
      <c r="I198" t="str">
        <f>"jiná právnická osoba (vč. obce a kraje)"</f>
        <v>jiná právnická osoba (vč. obce a kraje)</v>
      </c>
      <c r="J198" t="str">
        <f>"OPO"</f>
        <v>OPO</v>
      </c>
      <c r="K198" t="str">
        <f>"1"</f>
        <v>1</v>
      </c>
      <c r="L198" t="str">
        <f>"Vlastnické právo"</f>
        <v>Vlastnické právo</v>
      </c>
    </row>
    <row r="199" spans="1:12" x14ac:dyDescent="0.25">
      <c r="A199" t="str">
        <f>"Darkov"</f>
        <v>Darkov</v>
      </c>
      <c r="B199" t="str">
        <f>"741/22"</f>
        <v>741/22</v>
      </c>
      <c r="C199" t="str">
        <f>"1163"</f>
        <v>1163</v>
      </c>
      <c r="D199" t="str">
        <f>"lesní pozemek"</f>
        <v>lesní pozemek</v>
      </c>
      <c r="E199" t="str">
        <f>"les jiný než hospodářský"</f>
        <v>les jiný než hospodářský</v>
      </c>
      <c r="F199" t="str">
        <f>"10001"</f>
        <v>10001</v>
      </c>
      <c r="G199" t="str">
        <f>"Statutární město Karviná"</f>
        <v>Statutární město Karviná</v>
      </c>
      <c r="H199" t="str">
        <f>"297534"</f>
        <v>297534</v>
      </c>
      <c r="I199" t="str">
        <f>"jiná právnická osoba (vč. obce a kraje)"</f>
        <v>jiná právnická osoba (vč. obce a kraje)</v>
      </c>
      <c r="J199" t="str">
        <f>"OPO"</f>
        <v>OPO</v>
      </c>
      <c r="K199" t="str">
        <f>"1"</f>
        <v>1</v>
      </c>
      <c r="L199" t="str">
        <f>"Vlastnické právo"</f>
        <v>Vlastnické právo</v>
      </c>
    </row>
    <row r="200" spans="1:12" x14ac:dyDescent="0.25">
      <c r="A200" t="str">
        <f>"Darkov"</f>
        <v>Darkov</v>
      </c>
      <c r="B200" t="str">
        <f>"741/23"</f>
        <v>741/23</v>
      </c>
      <c r="C200" t="str">
        <f>"212"</f>
        <v>212</v>
      </c>
      <c r="D200" t="str">
        <f>"lesní pozemek"</f>
        <v>lesní pozemek</v>
      </c>
      <c r="E200" t="str">
        <f>"les jiný než hospodářský"</f>
        <v>les jiný než hospodářský</v>
      </c>
      <c r="F200" t="str">
        <f>"10001"</f>
        <v>10001</v>
      </c>
      <c r="G200" t="str">
        <f>"Statutární město Karviná"</f>
        <v>Statutární město Karviná</v>
      </c>
      <c r="H200" t="str">
        <f>"297534"</f>
        <v>297534</v>
      </c>
      <c r="I200" t="str">
        <f>"jiná právnická osoba (vč. obce a kraje)"</f>
        <v>jiná právnická osoba (vč. obce a kraje)</v>
      </c>
      <c r="J200" t="str">
        <f>"OPO"</f>
        <v>OPO</v>
      </c>
      <c r="K200" t="str">
        <f>"1"</f>
        <v>1</v>
      </c>
      <c r="L200" t="str">
        <f>"Vlastnické právo"</f>
        <v>Vlastnické právo</v>
      </c>
    </row>
    <row r="201" spans="1:12" x14ac:dyDescent="0.25">
      <c r="A201" t="str">
        <f>"Darkov"</f>
        <v>Darkov</v>
      </c>
      <c r="B201" t="str">
        <f>"741/24"</f>
        <v>741/24</v>
      </c>
      <c r="C201" t="str">
        <f>"78"</f>
        <v>78</v>
      </c>
      <c r="D201" t="str">
        <f>"lesní pozemek"</f>
        <v>lesní pozemek</v>
      </c>
      <c r="E201" t="str">
        <f>"les jiný než hospodářský"</f>
        <v>les jiný než hospodářský</v>
      </c>
      <c r="F201" t="str">
        <f>"10001"</f>
        <v>10001</v>
      </c>
      <c r="G201" t="str">
        <f>"Statutární město Karviná"</f>
        <v>Statutární město Karviná</v>
      </c>
      <c r="H201" t="str">
        <f>"297534"</f>
        <v>297534</v>
      </c>
      <c r="I201" t="str">
        <f>"jiná právnická osoba (vč. obce a kraje)"</f>
        <v>jiná právnická osoba (vč. obce a kraje)</v>
      </c>
      <c r="J201" t="str">
        <f>"OPO"</f>
        <v>OPO</v>
      </c>
      <c r="K201" t="str">
        <f>"1"</f>
        <v>1</v>
      </c>
      <c r="L201" t="str">
        <f>"Vlastnické právo"</f>
        <v>Vlastnické právo</v>
      </c>
    </row>
    <row r="202" spans="1:12" x14ac:dyDescent="0.25">
      <c r="A202" t="str">
        <f>"Darkov"</f>
        <v>Darkov</v>
      </c>
      <c r="B202" t="str">
        <f>"741/25"</f>
        <v>741/25</v>
      </c>
      <c r="C202" t="str">
        <f>"984"</f>
        <v>984</v>
      </c>
      <c r="D202" t="str">
        <f>"lesní pozemek"</f>
        <v>lesní pozemek</v>
      </c>
      <c r="E202" t="str">
        <f>"les jiný než hospodářský"</f>
        <v>les jiný než hospodářský</v>
      </c>
      <c r="F202" t="str">
        <f>"10001"</f>
        <v>10001</v>
      </c>
      <c r="G202" t="str">
        <f>"Statutární město Karviná"</f>
        <v>Statutární město Karviná</v>
      </c>
      <c r="H202" t="str">
        <f>"297534"</f>
        <v>297534</v>
      </c>
      <c r="I202" t="str">
        <f>"jiná právnická osoba (vč. obce a kraje)"</f>
        <v>jiná právnická osoba (vč. obce a kraje)</v>
      </c>
      <c r="J202" t="str">
        <f>"OPO"</f>
        <v>OPO</v>
      </c>
      <c r="K202" t="str">
        <f>"1"</f>
        <v>1</v>
      </c>
      <c r="L202" t="str">
        <f>"Vlastnické právo"</f>
        <v>Vlastnické právo</v>
      </c>
    </row>
    <row r="203" spans="1:12" x14ac:dyDescent="0.25">
      <c r="A203" t="str">
        <f>"Darkov"</f>
        <v>Darkov</v>
      </c>
      <c r="B203" t="str">
        <f>"753/1"</f>
        <v>753/1</v>
      </c>
      <c r="C203" t="str">
        <f>"457"</f>
        <v>457</v>
      </c>
      <c r="D203" t="str">
        <f>"lesní pozemek"</f>
        <v>lesní pozemek</v>
      </c>
      <c r="E203" t="str">
        <f>"les jiný než hospodářský"</f>
        <v>les jiný než hospodářský</v>
      </c>
      <c r="F203" t="str">
        <f>"10001"</f>
        <v>10001</v>
      </c>
      <c r="G203" t="str">
        <f>"Statutární město Karviná"</f>
        <v>Statutární město Karviná</v>
      </c>
      <c r="H203" t="str">
        <f>"297534"</f>
        <v>297534</v>
      </c>
      <c r="I203" t="str">
        <f>"jiná právnická osoba (vč. obce a kraje)"</f>
        <v>jiná právnická osoba (vč. obce a kraje)</v>
      </c>
      <c r="J203" t="str">
        <f>"OPO"</f>
        <v>OPO</v>
      </c>
      <c r="K203" t="str">
        <f>"1"</f>
        <v>1</v>
      </c>
      <c r="L203" t="str">
        <f>"Vlastnické právo"</f>
        <v>Vlastnické právo</v>
      </c>
    </row>
    <row r="204" spans="1:12" x14ac:dyDescent="0.25">
      <c r="A204" t="str">
        <f>"Darkov"</f>
        <v>Darkov</v>
      </c>
      <c r="B204" t="str">
        <f>"753/2"</f>
        <v>753/2</v>
      </c>
      <c r="C204" t="str">
        <f>"330"</f>
        <v>330</v>
      </c>
      <c r="D204" t="str">
        <f>"lesní pozemek"</f>
        <v>lesní pozemek</v>
      </c>
      <c r="E204" t="str">
        <f>"les jiný než hospodářský"</f>
        <v>les jiný než hospodářský</v>
      </c>
      <c r="F204" t="str">
        <f>"10001"</f>
        <v>10001</v>
      </c>
      <c r="G204" t="str">
        <f>"Statutární město Karviná"</f>
        <v>Statutární město Karviná</v>
      </c>
      <c r="H204" t="str">
        <f>"297534"</f>
        <v>297534</v>
      </c>
      <c r="I204" t="str">
        <f>"jiná právnická osoba (vč. obce a kraje)"</f>
        <v>jiná právnická osoba (vč. obce a kraje)</v>
      </c>
      <c r="J204" t="str">
        <f>"OPO"</f>
        <v>OPO</v>
      </c>
      <c r="K204" t="str">
        <f>"1"</f>
        <v>1</v>
      </c>
      <c r="L204" t="str">
        <f>"Vlastnické právo"</f>
        <v>Vlastnické právo</v>
      </c>
    </row>
    <row r="205" spans="1:12" x14ac:dyDescent="0.25">
      <c r="A205" t="str">
        <f>"Darkov"</f>
        <v>Darkov</v>
      </c>
      <c r="B205" t="str">
        <f>"753/3"</f>
        <v>753/3</v>
      </c>
      <c r="C205" t="str">
        <f>"278"</f>
        <v>278</v>
      </c>
      <c r="D205" t="str">
        <f>"lesní pozemek"</f>
        <v>lesní pozemek</v>
      </c>
      <c r="E205" t="str">
        <f>"les jiný než hospodářský"</f>
        <v>les jiný než hospodářský</v>
      </c>
      <c r="F205" t="str">
        <f>"10001"</f>
        <v>10001</v>
      </c>
      <c r="G205" t="str">
        <f>"Statutární město Karviná"</f>
        <v>Statutární město Karviná</v>
      </c>
      <c r="H205" t="str">
        <f>"297534"</f>
        <v>297534</v>
      </c>
      <c r="I205" t="str">
        <f>"jiná právnická osoba (vč. obce a kraje)"</f>
        <v>jiná právnická osoba (vč. obce a kraje)</v>
      </c>
      <c r="J205" t="str">
        <f>"OPO"</f>
        <v>OPO</v>
      </c>
      <c r="K205" t="str">
        <f>"1"</f>
        <v>1</v>
      </c>
      <c r="L205" t="str">
        <f>"Vlastnické právo"</f>
        <v>Vlastnické právo</v>
      </c>
    </row>
    <row r="206" spans="1:12" x14ac:dyDescent="0.25">
      <c r="A206" t="str">
        <f>"Darkov"</f>
        <v>Darkov</v>
      </c>
      <c r="B206" t="str">
        <f>"753/4"</f>
        <v>753/4</v>
      </c>
      <c r="C206" t="str">
        <f>"335"</f>
        <v>335</v>
      </c>
      <c r="D206" t="str">
        <f>"lesní pozemek"</f>
        <v>lesní pozemek</v>
      </c>
      <c r="E206" t="str">
        <f>"les jiný než hospodářský"</f>
        <v>les jiný než hospodářský</v>
      </c>
      <c r="F206" t="str">
        <f>"10001"</f>
        <v>10001</v>
      </c>
      <c r="G206" t="str">
        <f>"Statutární město Karviná"</f>
        <v>Statutární město Karviná</v>
      </c>
      <c r="H206" t="str">
        <f>"297534"</f>
        <v>297534</v>
      </c>
      <c r="I206" t="str">
        <f>"jiná právnická osoba (vč. obce a kraje)"</f>
        <v>jiná právnická osoba (vč. obce a kraje)</v>
      </c>
      <c r="J206" t="str">
        <f>"OPO"</f>
        <v>OPO</v>
      </c>
      <c r="K206" t="str">
        <f>"1"</f>
        <v>1</v>
      </c>
      <c r="L206" t="str">
        <f>"Vlastnické právo"</f>
        <v>Vlastnické právo</v>
      </c>
    </row>
    <row r="207" spans="1:12" x14ac:dyDescent="0.25">
      <c r="A207" t="str">
        <f>"Darkov"</f>
        <v>Darkov</v>
      </c>
      <c r="B207" t="str">
        <f>"791/2"</f>
        <v>791/2</v>
      </c>
      <c r="C207" t="str">
        <f>"144"</f>
        <v>144</v>
      </c>
      <c r="D207" t="str">
        <f>"lesní pozemek"</f>
        <v>lesní pozemek</v>
      </c>
      <c r="E207" t="str">
        <f>""</f>
        <v/>
      </c>
      <c r="F207" t="str">
        <f>"10001"</f>
        <v>10001</v>
      </c>
      <c r="G207" t="str">
        <f>"Statutární město Karviná"</f>
        <v>Statutární město Karviná</v>
      </c>
      <c r="H207" t="str">
        <f>"297534"</f>
        <v>297534</v>
      </c>
      <c r="I207" t="str">
        <f>"jiná právnická osoba (vč. obce a kraje)"</f>
        <v>jiná právnická osoba (vč. obce a kraje)</v>
      </c>
      <c r="J207" t="str">
        <f>"OPO"</f>
        <v>OPO</v>
      </c>
      <c r="K207" t="str">
        <f>"1"</f>
        <v>1</v>
      </c>
      <c r="L207" t="str">
        <f>"Vlastnické právo"</f>
        <v>Vlastnické právo</v>
      </c>
    </row>
    <row r="208" spans="1:12" x14ac:dyDescent="0.25">
      <c r="A208" t="str">
        <f>"Darkov"</f>
        <v>Darkov</v>
      </c>
      <c r="B208" t="str">
        <f>"829/1"</f>
        <v>829/1</v>
      </c>
      <c r="C208" t="str">
        <f>"4117"</f>
        <v>4117</v>
      </c>
      <c r="D208" t="str">
        <f>"lesní pozemek"</f>
        <v>lesní pozemek</v>
      </c>
      <c r="E208" t="str">
        <f>""</f>
        <v/>
      </c>
      <c r="F208" t="str">
        <f>"10001"</f>
        <v>10001</v>
      </c>
      <c r="G208" t="str">
        <f>"Statutární město Karviná"</f>
        <v>Statutární město Karviná</v>
      </c>
      <c r="H208" t="str">
        <f>"297534"</f>
        <v>297534</v>
      </c>
      <c r="I208" t="str">
        <f>"jiná právnická osoba (vč. obce a kraje)"</f>
        <v>jiná právnická osoba (vč. obce a kraje)</v>
      </c>
      <c r="J208" t="str">
        <f>"OPO"</f>
        <v>OPO</v>
      </c>
      <c r="K208" t="str">
        <f>"1"</f>
        <v>1</v>
      </c>
      <c r="L208" t="str">
        <f>"Vlastnické právo"</f>
        <v>Vlastnické právo</v>
      </c>
    </row>
    <row r="209" spans="1:12" x14ac:dyDescent="0.25">
      <c r="A209" t="str">
        <f>"Darkov"</f>
        <v>Darkov</v>
      </c>
      <c r="B209" t="str">
        <f>"836/1"</f>
        <v>836/1</v>
      </c>
      <c r="C209" t="str">
        <f>"1009"</f>
        <v>1009</v>
      </c>
      <c r="D209" t="str">
        <f>"lesní pozemek"</f>
        <v>lesní pozemek</v>
      </c>
      <c r="E209" t="str">
        <f>"les jiný než hospodářský"</f>
        <v>les jiný než hospodářský</v>
      </c>
      <c r="F209" t="str">
        <f>"10001"</f>
        <v>10001</v>
      </c>
      <c r="G209" t="str">
        <f>"Statutární město Karviná"</f>
        <v>Statutární město Karviná</v>
      </c>
      <c r="H209" t="str">
        <f>"297534"</f>
        <v>297534</v>
      </c>
      <c r="I209" t="str">
        <f>"jiná právnická osoba (vč. obce a kraje)"</f>
        <v>jiná právnická osoba (vč. obce a kraje)</v>
      </c>
      <c r="J209" t="str">
        <f>"OPO"</f>
        <v>OPO</v>
      </c>
      <c r="K209" t="str">
        <f>"1"</f>
        <v>1</v>
      </c>
      <c r="L209" t="str">
        <f>"Vlastnické právo"</f>
        <v>Vlastnické právo</v>
      </c>
    </row>
    <row r="210" spans="1:12" x14ac:dyDescent="0.25">
      <c r="A210" t="str">
        <f>"Darkov"</f>
        <v>Darkov</v>
      </c>
      <c r="B210" t="str">
        <f>"836/2"</f>
        <v>836/2</v>
      </c>
      <c r="C210" t="str">
        <f>"362"</f>
        <v>362</v>
      </c>
      <c r="D210" t="str">
        <f>"lesní pozemek"</f>
        <v>lesní pozemek</v>
      </c>
      <c r="E210" t="str">
        <f>"les jiný než hospodářský"</f>
        <v>les jiný než hospodářský</v>
      </c>
      <c r="F210" t="str">
        <f>"10001"</f>
        <v>10001</v>
      </c>
      <c r="G210" t="str">
        <f>"Statutární město Karviná"</f>
        <v>Statutární město Karviná</v>
      </c>
      <c r="H210" t="str">
        <f>"297534"</f>
        <v>297534</v>
      </c>
      <c r="I210" t="str">
        <f>"jiná právnická osoba (vč. obce a kraje)"</f>
        <v>jiná právnická osoba (vč. obce a kraje)</v>
      </c>
      <c r="J210" t="str">
        <f>"OPO"</f>
        <v>OPO</v>
      </c>
      <c r="K210" t="str">
        <f>"1"</f>
        <v>1</v>
      </c>
      <c r="L210" t="str">
        <f>"Vlastnické právo"</f>
        <v>Vlastnické právo</v>
      </c>
    </row>
    <row r="211" spans="1:12" x14ac:dyDescent="0.25">
      <c r="A211" t="str">
        <f>"Darkov"</f>
        <v>Darkov</v>
      </c>
      <c r="B211" t="str">
        <f>"837/1"</f>
        <v>837/1</v>
      </c>
      <c r="C211" t="str">
        <f>"884"</f>
        <v>884</v>
      </c>
      <c r="D211" t="str">
        <f>"lesní pozemek"</f>
        <v>lesní pozemek</v>
      </c>
      <c r="E211" t="str">
        <f>"les jiný než hospodářský"</f>
        <v>les jiný než hospodářský</v>
      </c>
      <c r="F211" t="str">
        <f>"10001"</f>
        <v>10001</v>
      </c>
      <c r="G211" t="str">
        <f>"Statutární město Karviná"</f>
        <v>Statutární město Karviná</v>
      </c>
      <c r="H211" t="str">
        <f>"297534"</f>
        <v>297534</v>
      </c>
      <c r="I211" t="str">
        <f>"jiná právnická osoba (vč. obce a kraje)"</f>
        <v>jiná právnická osoba (vč. obce a kraje)</v>
      </c>
      <c r="J211" t="str">
        <f>"OPO"</f>
        <v>OPO</v>
      </c>
      <c r="K211" t="str">
        <f>"1"</f>
        <v>1</v>
      </c>
      <c r="L211" t="str">
        <f>"Vlastnické právo"</f>
        <v>Vlastnické právo</v>
      </c>
    </row>
    <row r="212" spans="1:12" x14ac:dyDescent="0.25">
      <c r="A212" t="str">
        <f>"Darkov"</f>
        <v>Darkov</v>
      </c>
      <c r="B212" t="str">
        <f>"837/2"</f>
        <v>837/2</v>
      </c>
      <c r="C212" t="str">
        <f>"891"</f>
        <v>891</v>
      </c>
      <c r="D212" t="str">
        <f>"lesní pozemek"</f>
        <v>lesní pozemek</v>
      </c>
      <c r="E212" t="str">
        <f>"les jiný než hospodářský"</f>
        <v>les jiný než hospodářský</v>
      </c>
      <c r="F212" t="str">
        <f>"10001"</f>
        <v>10001</v>
      </c>
      <c r="G212" t="str">
        <f>"Statutární město Karviná"</f>
        <v>Statutární město Karviná</v>
      </c>
      <c r="H212" t="str">
        <f>"297534"</f>
        <v>297534</v>
      </c>
      <c r="I212" t="str">
        <f>"jiná právnická osoba (vč. obce a kraje)"</f>
        <v>jiná právnická osoba (vč. obce a kraje)</v>
      </c>
      <c r="J212" t="str">
        <f>"OPO"</f>
        <v>OPO</v>
      </c>
      <c r="K212" t="str">
        <f>"1"</f>
        <v>1</v>
      </c>
      <c r="L212" t="str">
        <f>"Vlastnické právo"</f>
        <v>Vlastnické právo</v>
      </c>
    </row>
    <row r="213" spans="1:12" x14ac:dyDescent="0.25">
      <c r="A213" t="str">
        <f>"Darkov"</f>
        <v>Darkov</v>
      </c>
      <c r="B213" t="str">
        <f>"838/1"</f>
        <v>838/1</v>
      </c>
      <c r="C213" t="str">
        <f>"1514"</f>
        <v>1514</v>
      </c>
      <c r="D213" t="str">
        <f>"lesní pozemek"</f>
        <v>lesní pozemek</v>
      </c>
      <c r="E213" t="str">
        <f>"les jiný než hospodářský"</f>
        <v>les jiný než hospodářský</v>
      </c>
      <c r="F213" t="str">
        <f>"10001"</f>
        <v>10001</v>
      </c>
      <c r="G213" t="str">
        <f>"Statutární město Karviná"</f>
        <v>Statutární město Karviná</v>
      </c>
      <c r="H213" t="str">
        <f>"297534"</f>
        <v>297534</v>
      </c>
      <c r="I213" t="str">
        <f>"jiná právnická osoba (vč. obce a kraje)"</f>
        <v>jiná právnická osoba (vč. obce a kraje)</v>
      </c>
      <c r="J213" t="str">
        <f>"OPO"</f>
        <v>OPO</v>
      </c>
      <c r="K213" t="str">
        <f>"1"</f>
        <v>1</v>
      </c>
      <c r="L213" t="str">
        <f>"Vlastnické právo"</f>
        <v>Vlastnické právo</v>
      </c>
    </row>
    <row r="214" spans="1:12" x14ac:dyDescent="0.25">
      <c r="A214" t="str">
        <f>"Darkov"</f>
        <v>Darkov</v>
      </c>
      <c r="B214" t="str">
        <f>"838/2"</f>
        <v>838/2</v>
      </c>
      <c r="C214" t="str">
        <f>"265"</f>
        <v>265</v>
      </c>
      <c r="D214" t="str">
        <f>"lesní pozemek"</f>
        <v>lesní pozemek</v>
      </c>
      <c r="E214" t="str">
        <f>"les jiný než hospodářský"</f>
        <v>les jiný než hospodářský</v>
      </c>
      <c r="F214" t="str">
        <f>"10001"</f>
        <v>10001</v>
      </c>
      <c r="G214" t="str">
        <f>"Statutární město Karviná"</f>
        <v>Statutární město Karviná</v>
      </c>
      <c r="H214" t="str">
        <f>"297534"</f>
        <v>297534</v>
      </c>
      <c r="I214" t="str">
        <f>"jiná právnická osoba (vč. obce a kraje)"</f>
        <v>jiná právnická osoba (vč. obce a kraje)</v>
      </c>
      <c r="J214" t="str">
        <f>"OPO"</f>
        <v>OPO</v>
      </c>
      <c r="K214" t="str">
        <f>"1"</f>
        <v>1</v>
      </c>
      <c r="L214" t="str">
        <f>"Vlastnické právo"</f>
        <v>Vlastnické právo</v>
      </c>
    </row>
    <row r="215" spans="1:12" x14ac:dyDescent="0.25">
      <c r="A215" t="str">
        <f>"Darkov"</f>
        <v>Darkov</v>
      </c>
      <c r="B215" t="str">
        <f>"839"</f>
        <v>839</v>
      </c>
      <c r="C215" t="str">
        <f>"1797"</f>
        <v>1797</v>
      </c>
      <c r="D215" t="str">
        <f>"lesní pozemek"</f>
        <v>lesní pozemek</v>
      </c>
      <c r="E215" t="str">
        <f>"les jiný než hospodářský"</f>
        <v>les jiný než hospodářský</v>
      </c>
      <c r="F215" t="str">
        <f>"10001"</f>
        <v>10001</v>
      </c>
      <c r="G215" t="str">
        <f>"Statutární město Karviná"</f>
        <v>Statutární město Karviná</v>
      </c>
      <c r="H215" t="str">
        <f>"297534"</f>
        <v>297534</v>
      </c>
      <c r="I215" t="str">
        <f>"jiná právnická osoba (vč. obce a kraje)"</f>
        <v>jiná právnická osoba (vč. obce a kraje)</v>
      </c>
      <c r="J215" t="str">
        <f>"OPO"</f>
        <v>OPO</v>
      </c>
      <c r="K215" t="str">
        <f>"1"</f>
        <v>1</v>
      </c>
      <c r="L215" t="str">
        <f>"Vlastnické právo"</f>
        <v>Vlastnické právo</v>
      </c>
    </row>
    <row r="216" spans="1:12" x14ac:dyDescent="0.25">
      <c r="A216" t="str">
        <f>"Darkov"</f>
        <v>Darkov</v>
      </c>
      <c r="B216" t="str">
        <f>"840/1"</f>
        <v>840/1</v>
      </c>
      <c r="C216" t="str">
        <f>"1744"</f>
        <v>1744</v>
      </c>
      <c r="D216" t="str">
        <f>"lesní pozemek"</f>
        <v>lesní pozemek</v>
      </c>
      <c r="E216" t="str">
        <f>"les jiný než hospodářský"</f>
        <v>les jiný než hospodářský</v>
      </c>
      <c r="F216" t="str">
        <f>"10001"</f>
        <v>10001</v>
      </c>
      <c r="G216" t="str">
        <f>"Statutární město Karviná"</f>
        <v>Statutární město Karviná</v>
      </c>
      <c r="H216" t="str">
        <f>"297534"</f>
        <v>297534</v>
      </c>
      <c r="I216" t="str">
        <f>"jiná právnická osoba (vč. obce a kraje)"</f>
        <v>jiná právnická osoba (vč. obce a kraje)</v>
      </c>
      <c r="J216" t="str">
        <f>"OPO"</f>
        <v>OPO</v>
      </c>
      <c r="K216" t="str">
        <f>"1"</f>
        <v>1</v>
      </c>
      <c r="L216" t="str">
        <f>"Vlastnické právo"</f>
        <v>Vlastnické právo</v>
      </c>
    </row>
    <row r="217" spans="1:12" x14ac:dyDescent="0.25">
      <c r="A217" t="str">
        <f>"Darkov"</f>
        <v>Darkov</v>
      </c>
      <c r="B217" t="str">
        <f>"840/2"</f>
        <v>840/2</v>
      </c>
      <c r="C217" t="str">
        <f>"50"</f>
        <v>50</v>
      </c>
      <c r="D217" t="str">
        <f>"lesní pozemek"</f>
        <v>lesní pozemek</v>
      </c>
      <c r="E217" t="str">
        <f>"les jiný než hospodářský"</f>
        <v>les jiný než hospodářský</v>
      </c>
      <c r="F217" t="str">
        <f>"10001"</f>
        <v>10001</v>
      </c>
      <c r="G217" t="str">
        <f>"Statutární město Karviná"</f>
        <v>Statutární město Karviná</v>
      </c>
      <c r="H217" t="str">
        <f>"297534"</f>
        <v>297534</v>
      </c>
      <c r="I217" t="str">
        <f>"jiná právnická osoba (vč. obce a kraje)"</f>
        <v>jiná právnická osoba (vč. obce a kraje)</v>
      </c>
      <c r="J217" t="str">
        <f>"OPO"</f>
        <v>OPO</v>
      </c>
      <c r="K217" t="str">
        <f>"1"</f>
        <v>1</v>
      </c>
      <c r="L217" t="str">
        <f>"Vlastnické právo"</f>
        <v>Vlastnické právo</v>
      </c>
    </row>
    <row r="218" spans="1:12" x14ac:dyDescent="0.25">
      <c r="A218" t="str">
        <f>"Darkov"</f>
        <v>Darkov</v>
      </c>
      <c r="B218" t="str">
        <f>"841"</f>
        <v>841</v>
      </c>
      <c r="C218" t="str">
        <f>"1793"</f>
        <v>1793</v>
      </c>
      <c r="D218" t="str">
        <f>"lesní pozemek"</f>
        <v>lesní pozemek</v>
      </c>
      <c r="E218" t="str">
        <f>"les jiný než hospodářský"</f>
        <v>les jiný než hospodářský</v>
      </c>
      <c r="F218" t="str">
        <f>"10001"</f>
        <v>10001</v>
      </c>
      <c r="G218" t="str">
        <f>"Statutární město Karviná"</f>
        <v>Statutární město Karviná</v>
      </c>
      <c r="H218" t="str">
        <f>"297534"</f>
        <v>297534</v>
      </c>
      <c r="I218" t="str">
        <f>"jiná právnická osoba (vč. obce a kraje)"</f>
        <v>jiná právnická osoba (vč. obce a kraje)</v>
      </c>
      <c r="J218" t="str">
        <f>"OPO"</f>
        <v>OPO</v>
      </c>
      <c r="K218" t="str">
        <f>"1"</f>
        <v>1</v>
      </c>
      <c r="L218" t="str">
        <f>"Vlastnické právo"</f>
        <v>Vlastnické právo</v>
      </c>
    </row>
    <row r="219" spans="1:12" x14ac:dyDescent="0.25">
      <c r="A219" t="str">
        <f>"Darkov"</f>
        <v>Darkov</v>
      </c>
      <c r="B219" t="str">
        <f>"842/1"</f>
        <v>842/1</v>
      </c>
      <c r="C219" t="str">
        <f>"1427"</f>
        <v>1427</v>
      </c>
      <c r="D219" t="str">
        <f>"lesní pozemek"</f>
        <v>lesní pozemek</v>
      </c>
      <c r="E219" t="str">
        <f>"les jiný než hospodářský"</f>
        <v>les jiný než hospodářský</v>
      </c>
      <c r="F219" t="str">
        <f>"10001"</f>
        <v>10001</v>
      </c>
      <c r="G219" t="str">
        <f>"Statutární město Karviná"</f>
        <v>Statutární město Karviná</v>
      </c>
      <c r="H219" t="str">
        <f>"297534"</f>
        <v>297534</v>
      </c>
      <c r="I219" t="str">
        <f>"jiná právnická osoba (vč. obce a kraje)"</f>
        <v>jiná právnická osoba (vč. obce a kraje)</v>
      </c>
      <c r="J219" t="str">
        <f>"OPO"</f>
        <v>OPO</v>
      </c>
      <c r="K219" t="str">
        <f>"1"</f>
        <v>1</v>
      </c>
      <c r="L219" t="str">
        <f>"Vlastnické právo"</f>
        <v>Vlastnické právo</v>
      </c>
    </row>
    <row r="220" spans="1:12" x14ac:dyDescent="0.25">
      <c r="A220" t="str">
        <f>"Darkov"</f>
        <v>Darkov</v>
      </c>
      <c r="B220" t="str">
        <f>"842/2"</f>
        <v>842/2</v>
      </c>
      <c r="C220" t="str">
        <f>"254"</f>
        <v>254</v>
      </c>
      <c r="D220" t="str">
        <f>"lesní pozemek"</f>
        <v>lesní pozemek</v>
      </c>
      <c r="E220" t="str">
        <f>"les jiný než hospodářský"</f>
        <v>les jiný než hospodářský</v>
      </c>
      <c r="F220" t="str">
        <f>"10001"</f>
        <v>10001</v>
      </c>
      <c r="G220" t="str">
        <f>"Statutární město Karviná"</f>
        <v>Statutární město Karviná</v>
      </c>
      <c r="H220" t="str">
        <f>"297534"</f>
        <v>297534</v>
      </c>
      <c r="I220" t="str">
        <f>"jiná právnická osoba (vč. obce a kraje)"</f>
        <v>jiná právnická osoba (vč. obce a kraje)</v>
      </c>
      <c r="J220" t="str">
        <f>"OPO"</f>
        <v>OPO</v>
      </c>
      <c r="K220" t="str">
        <f>"1"</f>
        <v>1</v>
      </c>
      <c r="L220" t="str">
        <f>"Vlastnické právo"</f>
        <v>Vlastnické právo</v>
      </c>
    </row>
    <row r="221" spans="1:12" x14ac:dyDescent="0.25">
      <c r="A221" t="str">
        <f>"Darkov"</f>
        <v>Darkov</v>
      </c>
      <c r="B221" t="str">
        <f>"842/3"</f>
        <v>842/3</v>
      </c>
      <c r="C221" t="str">
        <f>"120"</f>
        <v>120</v>
      </c>
      <c r="D221" t="str">
        <f>"lesní pozemek"</f>
        <v>lesní pozemek</v>
      </c>
      <c r="E221" t="str">
        <f>"les jiný než hospodářský"</f>
        <v>les jiný než hospodářský</v>
      </c>
      <c r="F221" t="str">
        <f>"10001"</f>
        <v>10001</v>
      </c>
      <c r="G221" t="str">
        <f>"Statutární město Karviná"</f>
        <v>Statutární město Karviná</v>
      </c>
      <c r="H221" t="str">
        <f>"297534"</f>
        <v>297534</v>
      </c>
      <c r="I221" t="str">
        <f>"jiná právnická osoba (vč. obce a kraje)"</f>
        <v>jiná právnická osoba (vč. obce a kraje)</v>
      </c>
      <c r="J221" t="str">
        <f>"OPO"</f>
        <v>OPO</v>
      </c>
      <c r="K221" t="str">
        <f>"1"</f>
        <v>1</v>
      </c>
      <c r="L221" t="str">
        <f>"Vlastnické právo"</f>
        <v>Vlastnické právo</v>
      </c>
    </row>
    <row r="222" spans="1:12" x14ac:dyDescent="0.25">
      <c r="A222" t="str">
        <f>"Darkov"</f>
        <v>Darkov</v>
      </c>
      <c r="B222" t="str">
        <f>"843/1"</f>
        <v>843/1</v>
      </c>
      <c r="C222" t="str">
        <f>"1552"</f>
        <v>1552</v>
      </c>
      <c r="D222" t="str">
        <f>"lesní pozemek"</f>
        <v>lesní pozemek</v>
      </c>
      <c r="E222" t="str">
        <f>"les jiný než hospodářský"</f>
        <v>les jiný než hospodářský</v>
      </c>
      <c r="F222" t="str">
        <f>"10001"</f>
        <v>10001</v>
      </c>
      <c r="G222" t="str">
        <f>"Statutární město Karviná"</f>
        <v>Statutární město Karviná</v>
      </c>
      <c r="H222" t="str">
        <f>"297534"</f>
        <v>297534</v>
      </c>
      <c r="I222" t="str">
        <f>"jiná právnická osoba (vč. obce a kraje)"</f>
        <v>jiná právnická osoba (vč. obce a kraje)</v>
      </c>
      <c r="J222" t="str">
        <f>"OPO"</f>
        <v>OPO</v>
      </c>
      <c r="K222" t="str">
        <f>"1"</f>
        <v>1</v>
      </c>
      <c r="L222" t="str">
        <f>"Vlastnické právo"</f>
        <v>Vlastnické právo</v>
      </c>
    </row>
    <row r="223" spans="1:12" x14ac:dyDescent="0.25">
      <c r="A223" t="str">
        <f>"Darkov"</f>
        <v>Darkov</v>
      </c>
      <c r="B223" t="str">
        <f>"843/2"</f>
        <v>843/2</v>
      </c>
      <c r="C223" t="str">
        <f>"257"</f>
        <v>257</v>
      </c>
      <c r="D223" t="str">
        <f>"lesní pozemek"</f>
        <v>lesní pozemek</v>
      </c>
      <c r="E223" t="str">
        <f>"les jiný než hospodářský"</f>
        <v>les jiný než hospodářský</v>
      </c>
      <c r="F223" t="str">
        <f>"10001"</f>
        <v>10001</v>
      </c>
      <c r="G223" t="str">
        <f>"Statutární město Karviná"</f>
        <v>Statutární město Karviná</v>
      </c>
      <c r="H223" t="str">
        <f>"297534"</f>
        <v>297534</v>
      </c>
      <c r="I223" t="str">
        <f>"jiná právnická osoba (vč. obce a kraje)"</f>
        <v>jiná právnická osoba (vč. obce a kraje)</v>
      </c>
      <c r="J223" t="str">
        <f>"OPO"</f>
        <v>OPO</v>
      </c>
      <c r="K223" t="str">
        <f>"1"</f>
        <v>1</v>
      </c>
      <c r="L223" t="str">
        <f>"Vlastnické právo"</f>
        <v>Vlastnické právo</v>
      </c>
    </row>
    <row r="224" spans="1:12" x14ac:dyDescent="0.25">
      <c r="A224" t="str">
        <f>"Darkov"</f>
        <v>Darkov</v>
      </c>
      <c r="B224" t="str">
        <f>"844"</f>
        <v>844</v>
      </c>
      <c r="C224" t="str">
        <f>"99"</f>
        <v>99</v>
      </c>
      <c r="D224" t="str">
        <f>"lesní pozemek"</f>
        <v>lesní pozemek</v>
      </c>
      <c r="E224" t="str">
        <f>"les jiný než hospodářský"</f>
        <v>les jiný než hospodářský</v>
      </c>
      <c r="F224" t="str">
        <f>"10001"</f>
        <v>10001</v>
      </c>
      <c r="G224" t="str">
        <f>"Statutární město Karviná"</f>
        <v>Statutární město Karviná</v>
      </c>
      <c r="H224" t="str">
        <f>"297534"</f>
        <v>297534</v>
      </c>
      <c r="I224" t="str">
        <f>"jiná právnická osoba (vč. obce a kraje)"</f>
        <v>jiná právnická osoba (vč. obce a kraje)</v>
      </c>
      <c r="J224" t="str">
        <f>"OPO"</f>
        <v>OPO</v>
      </c>
      <c r="K224" t="str">
        <f>"1"</f>
        <v>1</v>
      </c>
      <c r="L224" t="str">
        <f>"Vlastnické právo"</f>
        <v>Vlastnické právo</v>
      </c>
    </row>
    <row r="225" spans="1:12" x14ac:dyDescent="0.25">
      <c r="A225" t="str">
        <f>"Darkov"</f>
        <v>Darkov</v>
      </c>
      <c r="B225" t="str">
        <f>"845"</f>
        <v>845</v>
      </c>
      <c r="C225" t="str">
        <f>"1701"</f>
        <v>1701</v>
      </c>
      <c r="D225" t="str">
        <f>"lesní pozemek"</f>
        <v>lesní pozemek</v>
      </c>
      <c r="E225" t="str">
        <f>"les jiný než hospodářský"</f>
        <v>les jiný než hospodářský</v>
      </c>
      <c r="F225" t="str">
        <f>"10001"</f>
        <v>10001</v>
      </c>
      <c r="G225" t="str">
        <f>"Statutární město Karviná"</f>
        <v>Statutární město Karviná</v>
      </c>
      <c r="H225" t="str">
        <f>"297534"</f>
        <v>297534</v>
      </c>
      <c r="I225" t="str">
        <f>"jiná právnická osoba (vč. obce a kraje)"</f>
        <v>jiná právnická osoba (vč. obce a kraje)</v>
      </c>
      <c r="J225" t="str">
        <f>"OPO"</f>
        <v>OPO</v>
      </c>
      <c r="K225" t="str">
        <f>"1"</f>
        <v>1</v>
      </c>
      <c r="L225" t="str">
        <f>"Vlastnické právo"</f>
        <v>Vlastnické právo</v>
      </c>
    </row>
    <row r="226" spans="1:12" x14ac:dyDescent="0.25">
      <c r="A226" t="str">
        <f>"Darkov"</f>
        <v>Darkov</v>
      </c>
      <c r="B226" t="str">
        <f>"846/1"</f>
        <v>846/1</v>
      </c>
      <c r="C226" t="str">
        <f>"1396"</f>
        <v>1396</v>
      </c>
      <c r="D226" t="str">
        <f>"lesní pozemek"</f>
        <v>lesní pozemek</v>
      </c>
      <c r="E226" t="str">
        <f>"les jiný než hospodářský"</f>
        <v>les jiný než hospodářský</v>
      </c>
      <c r="F226" t="str">
        <f>"10001"</f>
        <v>10001</v>
      </c>
      <c r="G226" t="str">
        <f>"Statutární město Karviná"</f>
        <v>Statutární město Karviná</v>
      </c>
      <c r="H226" t="str">
        <f>"297534"</f>
        <v>297534</v>
      </c>
      <c r="I226" t="str">
        <f>"jiná právnická osoba (vč. obce a kraje)"</f>
        <v>jiná právnická osoba (vč. obce a kraje)</v>
      </c>
      <c r="J226" t="str">
        <f>"OPO"</f>
        <v>OPO</v>
      </c>
      <c r="K226" t="str">
        <f>"1"</f>
        <v>1</v>
      </c>
      <c r="L226" t="str">
        <f>"Vlastnické právo"</f>
        <v>Vlastnické právo</v>
      </c>
    </row>
    <row r="227" spans="1:12" x14ac:dyDescent="0.25">
      <c r="A227" t="str">
        <f>"Darkov"</f>
        <v>Darkov</v>
      </c>
      <c r="B227" t="str">
        <f>"846/2"</f>
        <v>846/2</v>
      </c>
      <c r="C227" t="str">
        <f>"388"</f>
        <v>388</v>
      </c>
      <c r="D227" t="str">
        <f>"lesní pozemek"</f>
        <v>lesní pozemek</v>
      </c>
      <c r="E227" t="str">
        <f>"les jiný než hospodářský"</f>
        <v>les jiný než hospodářský</v>
      </c>
      <c r="F227" t="str">
        <f>"10001"</f>
        <v>10001</v>
      </c>
      <c r="G227" t="str">
        <f>"Statutární město Karviná"</f>
        <v>Statutární město Karviná</v>
      </c>
      <c r="H227" t="str">
        <f>"297534"</f>
        <v>297534</v>
      </c>
      <c r="I227" t="str">
        <f>"jiná právnická osoba (vč. obce a kraje)"</f>
        <v>jiná právnická osoba (vč. obce a kraje)</v>
      </c>
      <c r="J227" t="str">
        <f>"OPO"</f>
        <v>OPO</v>
      </c>
      <c r="K227" t="str">
        <f>"1"</f>
        <v>1</v>
      </c>
      <c r="L227" t="str">
        <f>"Vlastnické právo"</f>
        <v>Vlastnické právo</v>
      </c>
    </row>
    <row r="228" spans="1:12" x14ac:dyDescent="0.25">
      <c r="A228" t="str">
        <f>"Darkov"</f>
        <v>Darkov</v>
      </c>
      <c r="B228" t="str">
        <f>"847"</f>
        <v>847</v>
      </c>
      <c r="C228" t="str">
        <f>"460"</f>
        <v>460</v>
      </c>
      <c r="D228" t="str">
        <f>"lesní pozemek"</f>
        <v>lesní pozemek</v>
      </c>
      <c r="E228" t="str">
        <f>"les jiný než hospodářský"</f>
        <v>les jiný než hospodářský</v>
      </c>
      <c r="F228" t="str">
        <f>"10001"</f>
        <v>10001</v>
      </c>
      <c r="G228" t="str">
        <f>"Statutární město Karviná"</f>
        <v>Statutární město Karviná</v>
      </c>
      <c r="H228" t="str">
        <f>"297534"</f>
        <v>297534</v>
      </c>
      <c r="I228" t="str">
        <f>"jiná právnická osoba (vč. obce a kraje)"</f>
        <v>jiná právnická osoba (vč. obce a kraje)</v>
      </c>
      <c r="J228" t="str">
        <f>"OPO"</f>
        <v>OPO</v>
      </c>
      <c r="K228" t="str">
        <f>"1"</f>
        <v>1</v>
      </c>
      <c r="L228" t="str">
        <f>"Vlastnické právo"</f>
        <v>Vlastnické právo</v>
      </c>
    </row>
    <row r="229" spans="1:12" x14ac:dyDescent="0.25">
      <c r="A229" t="str">
        <f>"Darkov"</f>
        <v>Darkov</v>
      </c>
      <c r="B229" t="str">
        <f>"848"</f>
        <v>848</v>
      </c>
      <c r="C229" t="str">
        <f>"1353"</f>
        <v>1353</v>
      </c>
      <c r="D229" t="str">
        <f>"lesní pozemek"</f>
        <v>lesní pozemek</v>
      </c>
      <c r="E229" t="str">
        <f>"les jiný než hospodářský"</f>
        <v>les jiný než hospodářský</v>
      </c>
      <c r="F229" t="str">
        <f>"10001"</f>
        <v>10001</v>
      </c>
      <c r="G229" t="str">
        <f>"Statutární město Karviná"</f>
        <v>Statutární město Karviná</v>
      </c>
      <c r="H229" t="str">
        <f>"297534"</f>
        <v>297534</v>
      </c>
      <c r="I229" t="str">
        <f>"jiná právnická osoba (vč. obce a kraje)"</f>
        <v>jiná právnická osoba (vč. obce a kraje)</v>
      </c>
      <c r="J229" t="str">
        <f>"OPO"</f>
        <v>OPO</v>
      </c>
      <c r="K229" t="str">
        <f>"1"</f>
        <v>1</v>
      </c>
      <c r="L229" t="str">
        <f>"Vlastnické právo"</f>
        <v>Vlastnické právo</v>
      </c>
    </row>
    <row r="230" spans="1:12" x14ac:dyDescent="0.25">
      <c r="A230" t="str">
        <f>"Darkov"</f>
        <v>Darkov</v>
      </c>
      <c r="B230" t="str">
        <f>"849"</f>
        <v>849</v>
      </c>
      <c r="C230" t="str">
        <f>"1796"</f>
        <v>1796</v>
      </c>
      <c r="D230" t="str">
        <f>"lesní pozemek"</f>
        <v>lesní pozemek</v>
      </c>
      <c r="E230" t="str">
        <f>"les jiný než hospodářský"</f>
        <v>les jiný než hospodářský</v>
      </c>
      <c r="F230" t="str">
        <f>"10001"</f>
        <v>10001</v>
      </c>
      <c r="G230" t="str">
        <f>"Statutární město Karviná"</f>
        <v>Statutární město Karviná</v>
      </c>
      <c r="H230" t="str">
        <f>"297534"</f>
        <v>297534</v>
      </c>
      <c r="I230" t="str">
        <f>"jiná právnická osoba (vč. obce a kraje)"</f>
        <v>jiná právnická osoba (vč. obce a kraje)</v>
      </c>
      <c r="J230" t="str">
        <f>"OPO"</f>
        <v>OPO</v>
      </c>
      <c r="K230" t="str">
        <f>"1"</f>
        <v>1</v>
      </c>
      <c r="L230" t="str">
        <f>"Vlastnické právo"</f>
        <v>Vlastnické právo</v>
      </c>
    </row>
    <row r="231" spans="1:12" x14ac:dyDescent="0.25">
      <c r="A231" t="str">
        <f>"Darkov"</f>
        <v>Darkov</v>
      </c>
      <c r="B231" t="str">
        <f>"850"</f>
        <v>850</v>
      </c>
      <c r="C231" t="str">
        <f>"1801"</f>
        <v>1801</v>
      </c>
      <c r="D231" t="str">
        <f>"lesní pozemek"</f>
        <v>lesní pozemek</v>
      </c>
      <c r="E231" t="str">
        <f>"les jiný než hospodářský"</f>
        <v>les jiný než hospodářský</v>
      </c>
      <c r="F231" t="str">
        <f>"10001"</f>
        <v>10001</v>
      </c>
      <c r="G231" t="str">
        <f>"Statutární město Karviná"</f>
        <v>Statutární město Karviná</v>
      </c>
      <c r="H231" t="str">
        <f>"297534"</f>
        <v>297534</v>
      </c>
      <c r="I231" t="str">
        <f>"jiná právnická osoba (vč. obce a kraje)"</f>
        <v>jiná právnická osoba (vč. obce a kraje)</v>
      </c>
      <c r="J231" t="str">
        <f>"OPO"</f>
        <v>OPO</v>
      </c>
      <c r="K231" t="str">
        <f>"1"</f>
        <v>1</v>
      </c>
      <c r="L231" t="str">
        <f>"Vlastnické právo"</f>
        <v>Vlastnické právo</v>
      </c>
    </row>
    <row r="232" spans="1:12" x14ac:dyDescent="0.25">
      <c r="A232" t="str">
        <f>"Darkov"</f>
        <v>Darkov</v>
      </c>
      <c r="B232" t="str">
        <f>"851/1"</f>
        <v>851/1</v>
      </c>
      <c r="C232" t="str">
        <f>"834"</f>
        <v>834</v>
      </c>
      <c r="D232" t="str">
        <f>"lesní pozemek"</f>
        <v>lesní pozemek</v>
      </c>
      <c r="E232" t="str">
        <f>"les jiný než hospodářský"</f>
        <v>les jiný než hospodářský</v>
      </c>
      <c r="F232" t="str">
        <f>"10001"</f>
        <v>10001</v>
      </c>
      <c r="G232" t="str">
        <f>"Statutární město Karviná"</f>
        <v>Statutární město Karviná</v>
      </c>
      <c r="H232" t="str">
        <f>"297534"</f>
        <v>297534</v>
      </c>
      <c r="I232" t="str">
        <f>"jiná právnická osoba (vč. obce a kraje)"</f>
        <v>jiná právnická osoba (vč. obce a kraje)</v>
      </c>
      <c r="J232" t="str">
        <f>"OPO"</f>
        <v>OPO</v>
      </c>
      <c r="K232" t="str">
        <f>"1"</f>
        <v>1</v>
      </c>
      <c r="L232" t="str">
        <f>"Vlastnické právo"</f>
        <v>Vlastnické právo</v>
      </c>
    </row>
    <row r="233" spans="1:12" x14ac:dyDescent="0.25">
      <c r="A233" t="str">
        <f>"Darkov"</f>
        <v>Darkov</v>
      </c>
      <c r="B233" t="str">
        <f>"851/2"</f>
        <v>851/2</v>
      </c>
      <c r="C233" t="str">
        <f>"887"</f>
        <v>887</v>
      </c>
      <c r="D233" t="str">
        <f>"lesní pozemek"</f>
        <v>lesní pozemek</v>
      </c>
      <c r="E233" t="str">
        <f>"les jiný než hospodářský"</f>
        <v>les jiný než hospodářský</v>
      </c>
      <c r="F233" t="str">
        <f>"10001"</f>
        <v>10001</v>
      </c>
      <c r="G233" t="str">
        <f>"Statutární město Karviná"</f>
        <v>Statutární město Karviná</v>
      </c>
      <c r="H233" t="str">
        <f>"297534"</f>
        <v>297534</v>
      </c>
      <c r="I233" t="str">
        <f>"jiná právnická osoba (vč. obce a kraje)"</f>
        <v>jiná právnická osoba (vč. obce a kraje)</v>
      </c>
      <c r="J233" t="str">
        <f>"OPO"</f>
        <v>OPO</v>
      </c>
      <c r="K233" t="str">
        <f>"1"</f>
        <v>1</v>
      </c>
      <c r="L233" t="str">
        <f>"Vlastnické právo"</f>
        <v>Vlastnické právo</v>
      </c>
    </row>
    <row r="234" spans="1:12" x14ac:dyDescent="0.25">
      <c r="A234" t="str">
        <f>"Darkov"</f>
        <v>Darkov</v>
      </c>
      <c r="B234" t="str">
        <f>"851/3"</f>
        <v>851/3</v>
      </c>
      <c r="C234" t="str">
        <f>"64"</f>
        <v>64</v>
      </c>
      <c r="D234" t="str">
        <f>"lesní pozemek"</f>
        <v>lesní pozemek</v>
      </c>
      <c r="E234" t="str">
        <f>"les jiný než hospodářský"</f>
        <v>les jiný než hospodářský</v>
      </c>
      <c r="F234" t="str">
        <f>"10001"</f>
        <v>10001</v>
      </c>
      <c r="G234" t="str">
        <f>"Statutární město Karviná"</f>
        <v>Statutární město Karviná</v>
      </c>
      <c r="H234" t="str">
        <f>"297534"</f>
        <v>297534</v>
      </c>
      <c r="I234" t="str">
        <f>"jiná právnická osoba (vč. obce a kraje)"</f>
        <v>jiná právnická osoba (vč. obce a kraje)</v>
      </c>
      <c r="J234" t="str">
        <f>"OPO"</f>
        <v>OPO</v>
      </c>
      <c r="K234" t="str">
        <f>"1"</f>
        <v>1</v>
      </c>
      <c r="L234" t="str">
        <f>"Vlastnické právo"</f>
        <v>Vlastnické právo</v>
      </c>
    </row>
    <row r="235" spans="1:12" x14ac:dyDescent="0.25">
      <c r="A235" t="str">
        <f>"Darkov"</f>
        <v>Darkov</v>
      </c>
      <c r="B235" t="str">
        <f>"852"</f>
        <v>852</v>
      </c>
      <c r="C235" t="str">
        <f>"208"</f>
        <v>208</v>
      </c>
      <c r="D235" t="str">
        <f>"lesní pozemek"</f>
        <v>lesní pozemek</v>
      </c>
      <c r="E235" t="str">
        <f>"les jiný než hospodářský"</f>
        <v>les jiný než hospodářský</v>
      </c>
      <c r="F235" t="str">
        <f>"10001"</f>
        <v>10001</v>
      </c>
      <c r="G235" t="str">
        <f>"Statutární město Karviná"</f>
        <v>Statutární město Karviná</v>
      </c>
      <c r="H235" t="str">
        <f>"297534"</f>
        <v>297534</v>
      </c>
      <c r="I235" t="str">
        <f>"jiná právnická osoba (vč. obce a kraje)"</f>
        <v>jiná právnická osoba (vč. obce a kraje)</v>
      </c>
      <c r="J235" t="str">
        <f>"OPO"</f>
        <v>OPO</v>
      </c>
      <c r="K235" t="str">
        <f>"1"</f>
        <v>1</v>
      </c>
      <c r="L235" t="str">
        <f>"Vlastnické právo"</f>
        <v>Vlastnické právo</v>
      </c>
    </row>
    <row r="236" spans="1:12" x14ac:dyDescent="0.25">
      <c r="A236" t="str">
        <f>"Darkov"</f>
        <v>Darkov</v>
      </c>
      <c r="B236" t="str">
        <f>"853"</f>
        <v>853</v>
      </c>
      <c r="C236" t="str">
        <f>"1594"</f>
        <v>1594</v>
      </c>
      <c r="D236" t="str">
        <f>"lesní pozemek"</f>
        <v>lesní pozemek</v>
      </c>
      <c r="E236" t="str">
        <f>"les jiný než hospodářský"</f>
        <v>les jiný než hospodářský</v>
      </c>
      <c r="F236" t="str">
        <f>"10001"</f>
        <v>10001</v>
      </c>
      <c r="G236" t="str">
        <f>"Statutární město Karviná"</f>
        <v>Statutární město Karviná</v>
      </c>
      <c r="H236" t="str">
        <f>"297534"</f>
        <v>297534</v>
      </c>
      <c r="I236" t="str">
        <f>"jiná právnická osoba (vč. obce a kraje)"</f>
        <v>jiná právnická osoba (vč. obce a kraje)</v>
      </c>
      <c r="J236" t="str">
        <f>"OPO"</f>
        <v>OPO</v>
      </c>
      <c r="K236" t="str">
        <f>"1"</f>
        <v>1</v>
      </c>
      <c r="L236" t="str">
        <f>"Vlastnické právo"</f>
        <v>Vlastnické právo</v>
      </c>
    </row>
    <row r="237" spans="1:12" x14ac:dyDescent="0.25">
      <c r="A237" t="str">
        <f>"Darkov"</f>
        <v>Darkov</v>
      </c>
      <c r="B237" t="str">
        <f>"854/1"</f>
        <v>854/1</v>
      </c>
      <c r="C237" t="str">
        <f>"630"</f>
        <v>630</v>
      </c>
      <c r="D237" t="str">
        <f>"lesní pozemek"</f>
        <v>lesní pozemek</v>
      </c>
      <c r="E237" t="str">
        <f>"les jiný než hospodářský"</f>
        <v>les jiný než hospodářský</v>
      </c>
      <c r="F237" t="str">
        <f>"10001"</f>
        <v>10001</v>
      </c>
      <c r="G237" t="str">
        <f>"Statutární město Karviná"</f>
        <v>Statutární město Karviná</v>
      </c>
      <c r="H237" t="str">
        <f>"297534"</f>
        <v>297534</v>
      </c>
      <c r="I237" t="str">
        <f>"jiná právnická osoba (vč. obce a kraje)"</f>
        <v>jiná právnická osoba (vč. obce a kraje)</v>
      </c>
      <c r="J237" t="str">
        <f>"OPO"</f>
        <v>OPO</v>
      </c>
      <c r="K237" t="str">
        <f>"1"</f>
        <v>1</v>
      </c>
      <c r="L237" t="str">
        <f>"Vlastnické právo"</f>
        <v>Vlastnické právo</v>
      </c>
    </row>
    <row r="238" spans="1:12" x14ac:dyDescent="0.25">
      <c r="A238" t="str">
        <f>"Darkov"</f>
        <v>Darkov</v>
      </c>
      <c r="B238" t="str">
        <f>"854/2"</f>
        <v>854/2</v>
      </c>
      <c r="C238" t="str">
        <f>"677"</f>
        <v>677</v>
      </c>
      <c r="D238" t="str">
        <f>"lesní pozemek"</f>
        <v>lesní pozemek</v>
      </c>
      <c r="E238" t="str">
        <f>"les jiný než hospodářský"</f>
        <v>les jiný než hospodářský</v>
      </c>
      <c r="F238" t="str">
        <f>"10001"</f>
        <v>10001</v>
      </c>
      <c r="G238" t="str">
        <f>"Statutární město Karviná"</f>
        <v>Statutární město Karviná</v>
      </c>
      <c r="H238" t="str">
        <f>"297534"</f>
        <v>297534</v>
      </c>
      <c r="I238" t="str">
        <f>"jiná právnická osoba (vč. obce a kraje)"</f>
        <v>jiná právnická osoba (vč. obce a kraje)</v>
      </c>
      <c r="J238" t="str">
        <f>"OPO"</f>
        <v>OPO</v>
      </c>
      <c r="K238" t="str">
        <f>"1"</f>
        <v>1</v>
      </c>
      <c r="L238" t="str">
        <f>"Vlastnické právo"</f>
        <v>Vlastnické právo</v>
      </c>
    </row>
    <row r="239" spans="1:12" x14ac:dyDescent="0.25">
      <c r="A239" t="str">
        <f>"Darkov"</f>
        <v>Darkov</v>
      </c>
      <c r="B239" t="str">
        <f>"854/3"</f>
        <v>854/3</v>
      </c>
      <c r="C239" t="str">
        <f>"225"</f>
        <v>225</v>
      </c>
      <c r="D239" t="str">
        <f>"lesní pozemek"</f>
        <v>lesní pozemek</v>
      </c>
      <c r="E239" t="str">
        <f>"les jiný než hospodářský"</f>
        <v>les jiný než hospodářský</v>
      </c>
      <c r="F239" t="str">
        <f>"10001"</f>
        <v>10001</v>
      </c>
      <c r="G239" t="str">
        <f>"Statutární město Karviná"</f>
        <v>Statutární město Karviná</v>
      </c>
      <c r="H239" t="str">
        <f>"297534"</f>
        <v>297534</v>
      </c>
      <c r="I239" t="str">
        <f>"jiná právnická osoba (vč. obce a kraje)"</f>
        <v>jiná právnická osoba (vč. obce a kraje)</v>
      </c>
      <c r="J239" t="str">
        <f>"OPO"</f>
        <v>OPO</v>
      </c>
      <c r="K239" t="str">
        <f>"1"</f>
        <v>1</v>
      </c>
      <c r="L239" t="str">
        <f>"Vlastnické právo"</f>
        <v>Vlastnické právo</v>
      </c>
    </row>
    <row r="240" spans="1:12" x14ac:dyDescent="0.25">
      <c r="A240" t="str">
        <f>"Darkov"</f>
        <v>Darkov</v>
      </c>
      <c r="B240" t="str">
        <f>"854/4"</f>
        <v>854/4</v>
      </c>
      <c r="C240" t="str">
        <f>"256"</f>
        <v>256</v>
      </c>
      <c r="D240" t="str">
        <f>"lesní pozemek"</f>
        <v>lesní pozemek</v>
      </c>
      <c r="E240" t="str">
        <f>"les jiný než hospodářský"</f>
        <v>les jiný než hospodářský</v>
      </c>
      <c r="F240" t="str">
        <f>"10001"</f>
        <v>10001</v>
      </c>
      <c r="G240" t="str">
        <f>"Statutární město Karviná"</f>
        <v>Statutární město Karviná</v>
      </c>
      <c r="H240" t="str">
        <f>"297534"</f>
        <v>297534</v>
      </c>
      <c r="I240" t="str">
        <f>"jiná právnická osoba (vč. obce a kraje)"</f>
        <v>jiná právnická osoba (vč. obce a kraje)</v>
      </c>
      <c r="J240" t="str">
        <f>"OPO"</f>
        <v>OPO</v>
      </c>
      <c r="K240" t="str">
        <f>"1"</f>
        <v>1</v>
      </c>
      <c r="L240" t="str">
        <f>"Vlastnické právo"</f>
        <v>Vlastnické právo</v>
      </c>
    </row>
    <row r="241" spans="1:12" x14ac:dyDescent="0.25">
      <c r="A241" t="str">
        <f>"Darkov"</f>
        <v>Darkov</v>
      </c>
      <c r="B241" t="str">
        <f>"855"</f>
        <v>855</v>
      </c>
      <c r="C241" t="str">
        <f>"1788"</f>
        <v>1788</v>
      </c>
      <c r="D241" t="str">
        <f>"lesní pozemek"</f>
        <v>lesní pozemek</v>
      </c>
      <c r="E241" t="str">
        <f>"les jiný než hospodářský"</f>
        <v>les jiný než hospodářský</v>
      </c>
      <c r="F241" t="str">
        <f>"10001"</f>
        <v>10001</v>
      </c>
      <c r="G241" t="str">
        <f>"Statutární město Karviná"</f>
        <v>Statutární město Karviná</v>
      </c>
      <c r="H241" t="str">
        <f>"297534"</f>
        <v>297534</v>
      </c>
      <c r="I241" t="str">
        <f>"jiná právnická osoba (vč. obce a kraje)"</f>
        <v>jiná právnická osoba (vč. obce a kraje)</v>
      </c>
      <c r="J241" t="str">
        <f>"OPO"</f>
        <v>OPO</v>
      </c>
      <c r="K241" t="str">
        <f>"1"</f>
        <v>1</v>
      </c>
      <c r="L241" t="str">
        <f>"Vlastnické právo"</f>
        <v>Vlastnické právo</v>
      </c>
    </row>
    <row r="242" spans="1:12" x14ac:dyDescent="0.25">
      <c r="A242" t="str">
        <f>"Darkov"</f>
        <v>Darkov</v>
      </c>
      <c r="B242" t="str">
        <f>"856/1"</f>
        <v>856/1</v>
      </c>
      <c r="C242" t="str">
        <f>"898"</f>
        <v>898</v>
      </c>
      <c r="D242" t="str">
        <f>"lesní pozemek"</f>
        <v>lesní pozemek</v>
      </c>
      <c r="E242" t="str">
        <f>"les jiný než hospodářský"</f>
        <v>les jiný než hospodářský</v>
      </c>
      <c r="F242" t="str">
        <f>"10001"</f>
        <v>10001</v>
      </c>
      <c r="G242" t="str">
        <f>"Statutární město Karviná"</f>
        <v>Statutární město Karviná</v>
      </c>
      <c r="H242" t="str">
        <f>"297534"</f>
        <v>297534</v>
      </c>
      <c r="I242" t="str">
        <f>"jiná právnická osoba (vč. obce a kraje)"</f>
        <v>jiná právnická osoba (vč. obce a kraje)</v>
      </c>
      <c r="J242" t="str">
        <f>"OPO"</f>
        <v>OPO</v>
      </c>
      <c r="K242" t="str">
        <f>"1"</f>
        <v>1</v>
      </c>
      <c r="L242" t="str">
        <f>"Vlastnické právo"</f>
        <v>Vlastnické právo</v>
      </c>
    </row>
    <row r="243" spans="1:12" x14ac:dyDescent="0.25">
      <c r="A243" t="str">
        <f>"Darkov"</f>
        <v>Darkov</v>
      </c>
      <c r="B243" t="str">
        <f>"856/2"</f>
        <v>856/2</v>
      </c>
      <c r="C243" t="str">
        <f>"594"</f>
        <v>594</v>
      </c>
      <c r="D243" t="str">
        <f>"lesní pozemek"</f>
        <v>lesní pozemek</v>
      </c>
      <c r="E243" t="str">
        <f>"les jiný než hospodářský"</f>
        <v>les jiný než hospodářský</v>
      </c>
      <c r="F243" t="str">
        <f>"10001"</f>
        <v>10001</v>
      </c>
      <c r="G243" t="str">
        <f>"Statutární město Karviná"</f>
        <v>Statutární město Karviná</v>
      </c>
      <c r="H243" t="str">
        <f>"297534"</f>
        <v>297534</v>
      </c>
      <c r="I243" t="str">
        <f>"jiná právnická osoba (vč. obce a kraje)"</f>
        <v>jiná právnická osoba (vč. obce a kraje)</v>
      </c>
      <c r="J243" t="str">
        <f>"OPO"</f>
        <v>OPO</v>
      </c>
      <c r="K243" t="str">
        <f>"1"</f>
        <v>1</v>
      </c>
      <c r="L243" t="str">
        <f>"Vlastnické právo"</f>
        <v>Vlastnické právo</v>
      </c>
    </row>
    <row r="244" spans="1:12" x14ac:dyDescent="0.25">
      <c r="A244" t="str">
        <f>"Darkov"</f>
        <v>Darkov</v>
      </c>
      <c r="B244" t="str">
        <f>"856/3"</f>
        <v>856/3</v>
      </c>
      <c r="C244" t="str">
        <f>"297"</f>
        <v>297</v>
      </c>
      <c r="D244" t="str">
        <f>"lesní pozemek"</f>
        <v>lesní pozemek</v>
      </c>
      <c r="E244" t="str">
        <f>"les jiný než hospodářský"</f>
        <v>les jiný než hospodářský</v>
      </c>
      <c r="F244" t="str">
        <f>"10001"</f>
        <v>10001</v>
      </c>
      <c r="G244" t="str">
        <f>"Statutární město Karviná"</f>
        <v>Statutární město Karviná</v>
      </c>
      <c r="H244" t="str">
        <f>"297534"</f>
        <v>297534</v>
      </c>
      <c r="I244" t="str">
        <f>"jiná právnická osoba (vč. obce a kraje)"</f>
        <v>jiná právnická osoba (vč. obce a kraje)</v>
      </c>
      <c r="J244" t="str">
        <f>"OPO"</f>
        <v>OPO</v>
      </c>
      <c r="K244" t="str">
        <f>"1"</f>
        <v>1</v>
      </c>
      <c r="L244" t="str">
        <f>"Vlastnické právo"</f>
        <v>Vlastnické právo</v>
      </c>
    </row>
    <row r="245" spans="1:12" x14ac:dyDescent="0.25">
      <c r="A245" t="str">
        <f>"Darkov"</f>
        <v>Darkov</v>
      </c>
      <c r="B245" t="str">
        <f>"857/1"</f>
        <v>857/1</v>
      </c>
      <c r="C245" t="str">
        <f>"1413"</f>
        <v>1413</v>
      </c>
      <c r="D245" t="str">
        <f>"lesní pozemek"</f>
        <v>lesní pozemek</v>
      </c>
      <c r="E245" t="str">
        <f>"les jiný než hospodářský"</f>
        <v>les jiný než hospodářský</v>
      </c>
      <c r="F245" t="str">
        <f>"10001"</f>
        <v>10001</v>
      </c>
      <c r="G245" t="str">
        <f>"Statutární město Karviná"</f>
        <v>Statutární město Karviná</v>
      </c>
      <c r="H245" t="str">
        <f>"297534"</f>
        <v>297534</v>
      </c>
      <c r="I245" t="str">
        <f>"jiná právnická osoba (vč. obce a kraje)"</f>
        <v>jiná právnická osoba (vč. obce a kraje)</v>
      </c>
      <c r="J245" t="str">
        <f>"OPO"</f>
        <v>OPO</v>
      </c>
      <c r="K245" t="str">
        <f>"1"</f>
        <v>1</v>
      </c>
      <c r="L245" t="str">
        <f>"Vlastnické právo"</f>
        <v>Vlastnické právo</v>
      </c>
    </row>
    <row r="246" spans="1:12" x14ac:dyDescent="0.25">
      <c r="A246" t="str">
        <f>"Darkov"</f>
        <v>Darkov</v>
      </c>
      <c r="B246" t="str">
        <f>"857/2"</f>
        <v>857/2</v>
      </c>
      <c r="C246" t="str">
        <f>"367"</f>
        <v>367</v>
      </c>
      <c r="D246" t="str">
        <f>"lesní pozemek"</f>
        <v>lesní pozemek</v>
      </c>
      <c r="E246" t="str">
        <f>"les jiný než hospodářský"</f>
        <v>les jiný než hospodářský</v>
      </c>
      <c r="F246" t="str">
        <f>"10001"</f>
        <v>10001</v>
      </c>
      <c r="G246" t="str">
        <f>"Statutární město Karviná"</f>
        <v>Statutární město Karviná</v>
      </c>
      <c r="H246" t="str">
        <f>"297534"</f>
        <v>297534</v>
      </c>
      <c r="I246" t="str">
        <f>"jiná právnická osoba (vč. obce a kraje)"</f>
        <v>jiná právnická osoba (vč. obce a kraje)</v>
      </c>
      <c r="J246" t="str">
        <f>"OPO"</f>
        <v>OPO</v>
      </c>
      <c r="K246" t="str">
        <f>"1"</f>
        <v>1</v>
      </c>
      <c r="L246" t="str">
        <f>"Vlastnické právo"</f>
        <v>Vlastnické právo</v>
      </c>
    </row>
    <row r="247" spans="1:12" x14ac:dyDescent="0.25">
      <c r="A247" t="str">
        <f>"Darkov"</f>
        <v>Darkov</v>
      </c>
      <c r="B247" t="str">
        <f>"858/1"</f>
        <v>858/1</v>
      </c>
      <c r="C247" t="str">
        <f>"1771"</f>
        <v>1771</v>
      </c>
      <c r="D247" t="str">
        <f>"lesní pozemek"</f>
        <v>lesní pozemek</v>
      </c>
      <c r="E247" t="str">
        <f>"les jiný než hospodářský"</f>
        <v>les jiný než hospodářský</v>
      </c>
      <c r="F247" t="str">
        <f>"10001"</f>
        <v>10001</v>
      </c>
      <c r="G247" t="str">
        <f>"Statutární město Karviná"</f>
        <v>Statutární město Karviná</v>
      </c>
      <c r="H247" t="str">
        <f>"297534"</f>
        <v>297534</v>
      </c>
      <c r="I247" t="str">
        <f>"jiná právnická osoba (vč. obce a kraje)"</f>
        <v>jiná právnická osoba (vč. obce a kraje)</v>
      </c>
      <c r="J247" t="str">
        <f>"OPO"</f>
        <v>OPO</v>
      </c>
      <c r="K247" t="str">
        <f>"1"</f>
        <v>1</v>
      </c>
      <c r="L247" t="str">
        <f>"Vlastnické právo"</f>
        <v>Vlastnické právo</v>
      </c>
    </row>
    <row r="248" spans="1:12" x14ac:dyDescent="0.25">
      <c r="A248" t="str">
        <f>"Darkov"</f>
        <v>Darkov</v>
      </c>
      <c r="B248" t="str">
        <f>"858/2"</f>
        <v>858/2</v>
      </c>
      <c r="C248" t="str">
        <f>"21"</f>
        <v>21</v>
      </c>
      <c r="D248" t="str">
        <f>"lesní pozemek"</f>
        <v>lesní pozemek</v>
      </c>
      <c r="E248" t="str">
        <f>"les jiný než hospodářský"</f>
        <v>les jiný než hospodářský</v>
      </c>
      <c r="F248" t="str">
        <f>"10001"</f>
        <v>10001</v>
      </c>
      <c r="G248" t="str">
        <f>"Statutární město Karviná"</f>
        <v>Statutární město Karviná</v>
      </c>
      <c r="H248" t="str">
        <f>"297534"</f>
        <v>297534</v>
      </c>
      <c r="I248" t="str">
        <f>"jiná právnická osoba (vč. obce a kraje)"</f>
        <v>jiná právnická osoba (vč. obce a kraje)</v>
      </c>
      <c r="J248" t="str">
        <f>"OPO"</f>
        <v>OPO</v>
      </c>
      <c r="K248" t="str">
        <f>"1"</f>
        <v>1</v>
      </c>
      <c r="L248" t="str">
        <f>"Vlastnické právo"</f>
        <v>Vlastnické právo</v>
      </c>
    </row>
    <row r="249" spans="1:12" x14ac:dyDescent="0.25">
      <c r="A249" t="str">
        <f>"Darkov"</f>
        <v>Darkov</v>
      </c>
      <c r="B249" t="str">
        <f>"859"</f>
        <v>859</v>
      </c>
      <c r="C249" t="str">
        <f>"1790"</f>
        <v>1790</v>
      </c>
      <c r="D249" t="str">
        <f>"lesní pozemek"</f>
        <v>lesní pozemek</v>
      </c>
      <c r="E249" t="str">
        <f>"les jiný než hospodářský"</f>
        <v>les jiný než hospodářský</v>
      </c>
      <c r="F249" t="str">
        <f>"10001"</f>
        <v>10001</v>
      </c>
      <c r="G249" t="str">
        <f>"Statutární město Karviná"</f>
        <v>Statutární město Karviná</v>
      </c>
      <c r="H249" t="str">
        <f>"297534"</f>
        <v>297534</v>
      </c>
      <c r="I249" t="str">
        <f>"jiná právnická osoba (vč. obce a kraje)"</f>
        <v>jiná právnická osoba (vč. obce a kraje)</v>
      </c>
      <c r="J249" t="str">
        <f>"OPO"</f>
        <v>OPO</v>
      </c>
      <c r="K249" t="str">
        <f>"1"</f>
        <v>1</v>
      </c>
      <c r="L249" t="str">
        <f>"Vlastnické právo"</f>
        <v>Vlastnické právo</v>
      </c>
    </row>
    <row r="250" spans="1:12" x14ac:dyDescent="0.25">
      <c r="A250" t="str">
        <f>"Darkov"</f>
        <v>Darkov</v>
      </c>
      <c r="B250" t="str">
        <f>"860"</f>
        <v>860</v>
      </c>
      <c r="C250" t="str">
        <f>"1789"</f>
        <v>1789</v>
      </c>
      <c r="D250" t="str">
        <f>"lesní pozemek"</f>
        <v>lesní pozemek</v>
      </c>
      <c r="E250" t="str">
        <f>"les jiný než hospodářský"</f>
        <v>les jiný než hospodářský</v>
      </c>
      <c r="F250" t="str">
        <f>"10001"</f>
        <v>10001</v>
      </c>
      <c r="G250" t="str">
        <f>"Statutární město Karviná"</f>
        <v>Statutární město Karviná</v>
      </c>
      <c r="H250" t="str">
        <f>"297534"</f>
        <v>297534</v>
      </c>
      <c r="I250" t="str">
        <f>"jiná právnická osoba (vč. obce a kraje)"</f>
        <v>jiná právnická osoba (vč. obce a kraje)</v>
      </c>
      <c r="J250" t="str">
        <f>"OPO"</f>
        <v>OPO</v>
      </c>
      <c r="K250" t="str">
        <f>"1"</f>
        <v>1</v>
      </c>
      <c r="L250" t="str">
        <f>"Vlastnické právo"</f>
        <v>Vlastnické právo</v>
      </c>
    </row>
    <row r="251" spans="1:12" x14ac:dyDescent="0.25">
      <c r="A251" t="str">
        <f>"Darkov"</f>
        <v>Darkov</v>
      </c>
      <c r="B251" t="str">
        <f>"861"</f>
        <v>861</v>
      </c>
      <c r="C251" t="str">
        <f>"2579"</f>
        <v>2579</v>
      </c>
      <c r="D251" t="str">
        <f>"lesní pozemek"</f>
        <v>lesní pozemek</v>
      </c>
      <c r="E251" t="str">
        <f>"les jiný než hospodářský"</f>
        <v>les jiný než hospodářský</v>
      </c>
      <c r="F251" t="str">
        <f>"10001"</f>
        <v>10001</v>
      </c>
      <c r="G251" t="str">
        <f>"Statutární město Karviná"</f>
        <v>Statutární město Karviná</v>
      </c>
      <c r="H251" t="str">
        <f>"297534"</f>
        <v>297534</v>
      </c>
      <c r="I251" t="str">
        <f>"jiná právnická osoba (vč. obce a kraje)"</f>
        <v>jiná právnická osoba (vč. obce a kraje)</v>
      </c>
      <c r="J251" t="str">
        <f>"OPO"</f>
        <v>OPO</v>
      </c>
      <c r="K251" t="str">
        <f>"1"</f>
        <v>1</v>
      </c>
      <c r="L251" t="str">
        <f>"Vlastnické právo"</f>
        <v>Vlastnické právo</v>
      </c>
    </row>
    <row r="252" spans="1:12" x14ac:dyDescent="0.25">
      <c r="A252" t="str">
        <f>"Darkov"</f>
        <v>Darkov</v>
      </c>
      <c r="B252" t="str">
        <f>"869/1"</f>
        <v>869/1</v>
      </c>
      <c r="C252" t="str">
        <f>"1208"</f>
        <v>1208</v>
      </c>
      <c r="D252" t="str">
        <f>"lesní pozemek"</f>
        <v>lesní pozemek</v>
      </c>
      <c r="E252" t="str">
        <f>"les jiný než hospodářský"</f>
        <v>les jiný než hospodářský</v>
      </c>
      <c r="F252" t="str">
        <f>"10001"</f>
        <v>10001</v>
      </c>
      <c r="G252" t="str">
        <f>"Statutární město Karviná"</f>
        <v>Statutární město Karviná</v>
      </c>
      <c r="H252" t="str">
        <f>"297534"</f>
        <v>297534</v>
      </c>
      <c r="I252" t="str">
        <f>"jiná právnická osoba (vč. obce a kraje)"</f>
        <v>jiná právnická osoba (vč. obce a kraje)</v>
      </c>
      <c r="J252" t="str">
        <f>"OPO"</f>
        <v>OPO</v>
      </c>
      <c r="K252" t="str">
        <f>"1"</f>
        <v>1</v>
      </c>
      <c r="L252" t="str">
        <f>"Vlastnické právo"</f>
        <v>Vlastnické právo</v>
      </c>
    </row>
    <row r="253" spans="1:12" x14ac:dyDescent="0.25">
      <c r="A253" t="str">
        <f>"Darkov"</f>
        <v>Darkov</v>
      </c>
      <c r="B253" t="str">
        <f>"869/2"</f>
        <v>869/2</v>
      </c>
      <c r="C253" t="str">
        <f>"557"</f>
        <v>557</v>
      </c>
      <c r="D253" t="str">
        <f>"lesní pozemek"</f>
        <v>lesní pozemek</v>
      </c>
      <c r="E253" t="str">
        <f>"les jiný než hospodářský"</f>
        <v>les jiný než hospodářský</v>
      </c>
      <c r="F253" t="str">
        <f>"10001"</f>
        <v>10001</v>
      </c>
      <c r="G253" t="str">
        <f>"Statutární město Karviná"</f>
        <v>Statutární město Karviná</v>
      </c>
      <c r="H253" t="str">
        <f>"297534"</f>
        <v>297534</v>
      </c>
      <c r="I253" t="str">
        <f>"jiná právnická osoba (vč. obce a kraje)"</f>
        <v>jiná právnická osoba (vč. obce a kraje)</v>
      </c>
      <c r="J253" t="str">
        <f>"OPO"</f>
        <v>OPO</v>
      </c>
      <c r="K253" t="str">
        <f>"1"</f>
        <v>1</v>
      </c>
      <c r="L253" t="str">
        <f>"Vlastnické právo"</f>
        <v>Vlastnické právo</v>
      </c>
    </row>
    <row r="254" spans="1:12" x14ac:dyDescent="0.25">
      <c r="A254" t="str">
        <f>"Darkov"</f>
        <v>Darkov</v>
      </c>
      <c r="B254" t="str">
        <f>"876"</f>
        <v>876</v>
      </c>
      <c r="C254" t="str">
        <f>"304"</f>
        <v>304</v>
      </c>
      <c r="D254" t="str">
        <f>"lesní pozemek"</f>
        <v>lesní pozemek</v>
      </c>
      <c r="E254" t="str">
        <f>""</f>
        <v/>
      </c>
      <c r="F254" t="str">
        <f>"10001"</f>
        <v>10001</v>
      </c>
      <c r="G254" t="str">
        <f>"Statutární město Karviná"</f>
        <v>Statutární město Karviná</v>
      </c>
      <c r="H254" t="str">
        <f>"297534"</f>
        <v>297534</v>
      </c>
      <c r="I254" t="str">
        <f>"jiná právnická osoba (vč. obce a kraje)"</f>
        <v>jiná právnická osoba (vč. obce a kraje)</v>
      </c>
      <c r="J254" t="str">
        <f>"OPO"</f>
        <v>OPO</v>
      </c>
      <c r="K254" t="str">
        <f>"1"</f>
        <v>1</v>
      </c>
      <c r="L254" t="str">
        <f>"Vlastnické právo"</f>
        <v>Vlastnické právo</v>
      </c>
    </row>
    <row r="255" spans="1:12" x14ac:dyDescent="0.25">
      <c r="A255" t="str">
        <f>"Darkov"</f>
        <v>Darkov</v>
      </c>
      <c r="B255" t="str">
        <f>"877"</f>
        <v>877</v>
      </c>
      <c r="C255" t="str">
        <f>"726"</f>
        <v>726</v>
      </c>
      <c r="D255" t="str">
        <f>"lesní pozemek"</f>
        <v>lesní pozemek</v>
      </c>
      <c r="E255" t="str">
        <f>"les jiný než hospodářský"</f>
        <v>les jiný než hospodářský</v>
      </c>
      <c r="F255" t="str">
        <f>"10001"</f>
        <v>10001</v>
      </c>
      <c r="G255" t="str">
        <f>"Statutární město Karviná"</f>
        <v>Statutární město Karviná</v>
      </c>
      <c r="H255" t="str">
        <f>"297534"</f>
        <v>297534</v>
      </c>
      <c r="I255" t="str">
        <f>"jiná právnická osoba (vč. obce a kraje)"</f>
        <v>jiná právnická osoba (vč. obce a kraje)</v>
      </c>
      <c r="J255" t="str">
        <f>"OPO"</f>
        <v>OPO</v>
      </c>
      <c r="K255" t="str">
        <f>"1"</f>
        <v>1</v>
      </c>
      <c r="L255" t="str">
        <f>"Vlastnické právo"</f>
        <v>Vlastnické právo</v>
      </c>
    </row>
    <row r="256" spans="1:12" x14ac:dyDescent="0.25">
      <c r="A256" t="str">
        <f>"Darkov"</f>
        <v>Darkov</v>
      </c>
      <c r="B256" t="str">
        <f>"878"</f>
        <v>878</v>
      </c>
      <c r="C256" t="str">
        <f>"551"</f>
        <v>551</v>
      </c>
      <c r="D256" t="str">
        <f>"lesní pozemek"</f>
        <v>lesní pozemek</v>
      </c>
      <c r="E256" t="str">
        <f>"les jiný než hospodářský"</f>
        <v>les jiný než hospodářský</v>
      </c>
      <c r="F256" t="str">
        <f>"10001"</f>
        <v>10001</v>
      </c>
      <c r="G256" t="str">
        <f>"Statutární město Karviná"</f>
        <v>Statutární město Karviná</v>
      </c>
      <c r="H256" t="str">
        <f>"297534"</f>
        <v>297534</v>
      </c>
      <c r="I256" t="str">
        <f>"jiná právnická osoba (vč. obce a kraje)"</f>
        <v>jiná právnická osoba (vč. obce a kraje)</v>
      </c>
      <c r="J256" t="str">
        <f>"OPO"</f>
        <v>OPO</v>
      </c>
      <c r="K256" t="str">
        <f>"1"</f>
        <v>1</v>
      </c>
      <c r="L256" t="str">
        <f>"Vlastnické právo"</f>
        <v>Vlastnické právo</v>
      </c>
    </row>
    <row r="257" spans="1:12" x14ac:dyDescent="0.25">
      <c r="A257" t="str">
        <f>"Darkov"</f>
        <v>Darkov</v>
      </c>
      <c r="B257" t="str">
        <f>"879/1"</f>
        <v>879/1</v>
      </c>
      <c r="C257" t="str">
        <f>"595"</f>
        <v>595</v>
      </c>
      <c r="D257" t="str">
        <f>"lesní pozemek"</f>
        <v>lesní pozemek</v>
      </c>
      <c r="E257" t="str">
        <f>"les jiný než hospodářský"</f>
        <v>les jiný než hospodářský</v>
      </c>
      <c r="F257" t="str">
        <f>"10001"</f>
        <v>10001</v>
      </c>
      <c r="G257" t="str">
        <f>"Statutární město Karviná"</f>
        <v>Statutární město Karviná</v>
      </c>
      <c r="H257" t="str">
        <f>"297534"</f>
        <v>297534</v>
      </c>
      <c r="I257" t="str">
        <f>"jiná právnická osoba (vč. obce a kraje)"</f>
        <v>jiná právnická osoba (vč. obce a kraje)</v>
      </c>
      <c r="J257" t="str">
        <f>"OPO"</f>
        <v>OPO</v>
      </c>
      <c r="K257" t="str">
        <f>"1"</f>
        <v>1</v>
      </c>
      <c r="L257" t="str">
        <f>"Vlastnické právo"</f>
        <v>Vlastnické právo</v>
      </c>
    </row>
    <row r="258" spans="1:12" x14ac:dyDescent="0.25">
      <c r="A258" t="str">
        <f>"Darkov"</f>
        <v>Darkov</v>
      </c>
      <c r="B258" t="str">
        <f>"879/2"</f>
        <v>879/2</v>
      </c>
      <c r="C258" t="str">
        <f>"37"</f>
        <v>37</v>
      </c>
      <c r="D258" t="str">
        <f>"lesní pozemek"</f>
        <v>lesní pozemek</v>
      </c>
      <c r="E258" t="str">
        <f>"les jiný než hospodářský"</f>
        <v>les jiný než hospodářský</v>
      </c>
      <c r="F258" t="str">
        <f>"10001"</f>
        <v>10001</v>
      </c>
      <c r="G258" t="str">
        <f>"Statutární město Karviná"</f>
        <v>Statutární město Karviná</v>
      </c>
      <c r="H258" t="str">
        <f>"297534"</f>
        <v>297534</v>
      </c>
      <c r="I258" t="str">
        <f>"jiná právnická osoba (vč. obce a kraje)"</f>
        <v>jiná právnická osoba (vč. obce a kraje)</v>
      </c>
      <c r="J258" t="str">
        <f>"OPO"</f>
        <v>OPO</v>
      </c>
      <c r="K258" t="str">
        <f>"1"</f>
        <v>1</v>
      </c>
      <c r="L258" t="str">
        <f>"Vlastnické právo"</f>
        <v>Vlastnické právo</v>
      </c>
    </row>
    <row r="259" spans="1:12" x14ac:dyDescent="0.25">
      <c r="A259" t="str">
        <f>"Darkov"</f>
        <v>Darkov</v>
      </c>
      <c r="B259" t="str">
        <f>"879/3"</f>
        <v>879/3</v>
      </c>
      <c r="C259" t="str">
        <f>"19"</f>
        <v>19</v>
      </c>
      <c r="D259" t="str">
        <f>"lesní pozemek"</f>
        <v>lesní pozemek</v>
      </c>
      <c r="E259" t="str">
        <f>"les jiný než hospodářský"</f>
        <v>les jiný než hospodářský</v>
      </c>
      <c r="F259" t="str">
        <f>"10001"</f>
        <v>10001</v>
      </c>
      <c r="G259" t="str">
        <f>"Statutární město Karviná"</f>
        <v>Statutární město Karviná</v>
      </c>
      <c r="H259" t="str">
        <f>"297534"</f>
        <v>297534</v>
      </c>
      <c r="I259" t="str">
        <f>"jiná právnická osoba (vč. obce a kraje)"</f>
        <v>jiná právnická osoba (vč. obce a kraje)</v>
      </c>
      <c r="J259" t="str">
        <f>"OPO"</f>
        <v>OPO</v>
      </c>
      <c r="K259" t="str">
        <f>"1"</f>
        <v>1</v>
      </c>
      <c r="L259" t="str">
        <f>"Vlastnické právo"</f>
        <v>Vlastnické právo</v>
      </c>
    </row>
    <row r="260" spans="1:12" x14ac:dyDescent="0.25">
      <c r="A260" t="str">
        <f>"Darkov"</f>
        <v>Darkov</v>
      </c>
      <c r="B260" t="str">
        <f>"879/4"</f>
        <v>879/4</v>
      </c>
      <c r="C260" t="str">
        <f>"17"</f>
        <v>17</v>
      </c>
      <c r="D260" t="str">
        <f>"lesní pozemek"</f>
        <v>lesní pozemek</v>
      </c>
      <c r="E260" t="str">
        <f>"les jiný než hospodářský"</f>
        <v>les jiný než hospodářský</v>
      </c>
      <c r="F260" t="str">
        <f>"10001"</f>
        <v>10001</v>
      </c>
      <c r="G260" t="str">
        <f>"Statutární město Karviná"</f>
        <v>Statutární město Karviná</v>
      </c>
      <c r="H260" t="str">
        <f>"297534"</f>
        <v>297534</v>
      </c>
      <c r="I260" t="str">
        <f>"jiná právnická osoba (vč. obce a kraje)"</f>
        <v>jiná právnická osoba (vč. obce a kraje)</v>
      </c>
      <c r="J260" t="str">
        <f>"OPO"</f>
        <v>OPO</v>
      </c>
      <c r="K260" t="str">
        <f>"1"</f>
        <v>1</v>
      </c>
      <c r="L260" t="str">
        <f>"Vlastnické právo"</f>
        <v>Vlastnické právo</v>
      </c>
    </row>
    <row r="261" spans="1:12" x14ac:dyDescent="0.25">
      <c r="A261" t="str">
        <f>"Darkov"</f>
        <v>Darkov</v>
      </c>
      <c r="B261" t="str">
        <f>"880"</f>
        <v>880</v>
      </c>
      <c r="C261" t="str">
        <f>"1431"</f>
        <v>1431</v>
      </c>
      <c r="D261" t="str">
        <f>"lesní pozemek"</f>
        <v>lesní pozemek</v>
      </c>
      <c r="E261" t="str">
        <f>"les jiný než hospodářský"</f>
        <v>les jiný než hospodářský</v>
      </c>
      <c r="F261" t="str">
        <f>"10001"</f>
        <v>10001</v>
      </c>
      <c r="G261" t="str">
        <f>"Statutární město Karviná"</f>
        <v>Statutární město Karviná</v>
      </c>
      <c r="H261" t="str">
        <f>"297534"</f>
        <v>297534</v>
      </c>
      <c r="I261" t="str">
        <f>"jiná právnická osoba (vč. obce a kraje)"</f>
        <v>jiná právnická osoba (vč. obce a kraje)</v>
      </c>
      <c r="J261" t="str">
        <f>"OPO"</f>
        <v>OPO</v>
      </c>
      <c r="K261" t="str">
        <f>"1"</f>
        <v>1</v>
      </c>
      <c r="L261" t="str">
        <f>"Vlastnické právo"</f>
        <v>Vlastnické právo</v>
      </c>
    </row>
    <row r="262" spans="1:12" x14ac:dyDescent="0.25">
      <c r="A262" t="str">
        <f>"Darkov"</f>
        <v>Darkov</v>
      </c>
      <c r="B262" t="str">
        <f>"881/1"</f>
        <v>881/1</v>
      </c>
      <c r="C262" t="str">
        <f>"947"</f>
        <v>947</v>
      </c>
      <c r="D262" t="str">
        <f>"lesní pozemek"</f>
        <v>lesní pozemek</v>
      </c>
      <c r="E262" t="str">
        <f>"les jiný než hospodářský"</f>
        <v>les jiný než hospodářský</v>
      </c>
      <c r="F262" t="str">
        <f>"10001"</f>
        <v>10001</v>
      </c>
      <c r="G262" t="str">
        <f>"Statutární město Karviná"</f>
        <v>Statutární město Karviná</v>
      </c>
      <c r="H262" t="str">
        <f>"297534"</f>
        <v>297534</v>
      </c>
      <c r="I262" t="str">
        <f>"jiná právnická osoba (vč. obce a kraje)"</f>
        <v>jiná právnická osoba (vč. obce a kraje)</v>
      </c>
      <c r="J262" t="str">
        <f>"OPO"</f>
        <v>OPO</v>
      </c>
      <c r="K262" t="str">
        <f>"1"</f>
        <v>1</v>
      </c>
      <c r="L262" t="str">
        <f>"Vlastnické právo"</f>
        <v>Vlastnické právo</v>
      </c>
    </row>
    <row r="263" spans="1:12" x14ac:dyDescent="0.25">
      <c r="A263" t="str">
        <f>"Darkov"</f>
        <v>Darkov</v>
      </c>
      <c r="B263" t="str">
        <f>"882"</f>
        <v>882</v>
      </c>
      <c r="C263" t="str">
        <f>"1847"</f>
        <v>1847</v>
      </c>
      <c r="D263" t="str">
        <f>"lesní pozemek"</f>
        <v>lesní pozemek</v>
      </c>
      <c r="E263" t="str">
        <f>"les jiný než hospodářský"</f>
        <v>les jiný než hospodářský</v>
      </c>
      <c r="F263" t="str">
        <f>"10001"</f>
        <v>10001</v>
      </c>
      <c r="G263" t="str">
        <f>"Statutární město Karviná"</f>
        <v>Statutární město Karviná</v>
      </c>
      <c r="H263" t="str">
        <f>"297534"</f>
        <v>297534</v>
      </c>
      <c r="I263" t="str">
        <f>"jiná právnická osoba (vč. obce a kraje)"</f>
        <v>jiná právnická osoba (vč. obce a kraje)</v>
      </c>
      <c r="J263" t="str">
        <f>"OPO"</f>
        <v>OPO</v>
      </c>
      <c r="K263" t="str">
        <f>"1"</f>
        <v>1</v>
      </c>
      <c r="L263" t="str">
        <f>"Vlastnické právo"</f>
        <v>Vlastnické právo</v>
      </c>
    </row>
    <row r="264" spans="1:12" x14ac:dyDescent="0.25">
      <c r="A264" t="str">
        <f>"Darkov"</f>
        <v>Darkov</v>
      </c>
      <c r="B264" t="str">
        <f>"883"</f>
        <v>883</v>
      </c>
      <c r="C264" t="str">
        <f>"1797"</f>
        <v>1797</v>
      </c>
      <c r="D264" t="str">
        <f>"lesní pozemek"</f>
        <v>lesní pozemek</v>
      </c>
      <c r="E264" t="str">
        <f>"les jiný než hospodářský"</f>
        <v>les jiný než hospodářský</v>
      </c>
      <c r="F264" t="str">
        <f>"10001"</f>
        <v>10001</v>
      </c>
      <c r="G264" t="str">
        <f>"Statutární město Karviná"</f>
        <v>Statutární město Karviná</v>
      </c>
      <c r="H264" t="str">
        <f>"297534"</f>
        <v>297534</v>
      </c>
      <c r="I264" t="str">
        <f>"jiná právnická osoba (vč. obce a kraje)"</f>
        <v>jiná právnická osoba (vč. obce a kraje)</v>
      </c>
      <c r="J264" t="str">
        <f>"OPO"</f>
        <v>OPO</v>
      </c>
      <c r="K264" t="str">
        <f>"1"</f>
        <v>1</v>
      </c>
      <c r="L264" t="str">
        <f>"Vlastnické právo"</f>
        <v>Vlastnické právo</v>
      </c>
    </row>
    <row r="265" spans="1:12" x14ac:dyDescent="0.25">
      <c r="A265" t="str">
        <f>"Darkov"</f>
        <v>Darkov</v>
      </c>
      <c r="B265" t="str">
        <f>"884"</f>
        <v>884</v>
      </c>
      <c r="C265" t="str">
        <f>"1790"</f>
        <v>1790</v>
      </c>
      <c r="D265" t="str">
        <f>"lesní pozemek"</f>
        <v>lesní pozemek</v>
      </c>
      <c r="E265" t="str">
        <f>"les jiný než hospodářský"</f>
        <v>les jiný než hospodářský</v>
      </c>
      <c r="F265" t="str">
        <f>"10001"</f>
        <v>10001</v>
      </c>
      <c r="G265" t="str">
        <f>"Statutární město Karviná"</f>
        <v>Statutární město Karviná</v>
      </c>
      <c r="H265" t="str">
        <f>"297534"</f>
        <v>297534</v>
      </c>
      <c r="I265" t="str">
        <f>"jiná právnická osoba (vč. obce a kraje)"</f>
        <v>jiná právnická osoba (vč. obce a kraje)</v>
      </c>
      <c r="J265" t="str">
        <f>"OPO"</f>
        <v>OPO</v>
      </c>
      <c r="K265" t="str">
        <f>"1"</f>
        <v>1</v>
      </c>
      <c r="L265" t="str">
        <f>"Vlastnické právo"</f>
        <v>Vlastnické právo</v>
      </c>
    </row>
    <row r="266" spans="1:12" x14ac:dyDescent="0.25">
      <c r="A266" t="str">
        <f>"Darkov"</f>
        <v>Darkov</v>
      </c>
      <c r="B266" t="str">
        <f>"885/1"</f>
        <v>885/1</v>
      </c>
      <c r="C266" t="str">
        <f>"1332"</f>
        <v>1332</v>
      </c>
      <c r="D266" t="str">
        <f>"lesní pozemek"</f>
        <v>lesní pozemek</v>
      </c>
      <c r="E266" t="str">
        <f>"les jiný než hospodářský"</f>
        <v>les jiný než hospodářský</v>
      </c>
      <c r="F266" t="str">
        <f>"10001"</f>
        <v>10001</v>
      </c>
      <c r="G266" t="str">
        <f>"Statutární město Karviná"</f>
        <v>Statutární město Karviná</v>
      </c>
      <c r="H266" t="str">
        <f>"297534"</f>
        <v>297534</v>
      </c>
      <c r="I266" t="str">
        <f>"jiná právnická osoba (vč. obce a kraje)"</f>
        <v>jiná právnická osoba (vč. obce a kraje)</v>
      </c>
      <c r="J266" t="str">
        <f>"OPO"</f>
        <v>OPO</v>
      </c>
      <c r="K266" t="str">
        <f>"1"</f>
        <v>1</v>
      </c>
      <c r="L266" t="str">
        <f>"Vlastnické právo"</f>
        <v>Vlastnické právo</v>
      </c>
    </row>
    <row r="267" spans="1:12" x14ac:dyDescent="0.25">
      <c r="A267" t="str">
        <f>"Darkov"</f>
        <v>Darkov</v>
      </c>
      <c r="B267" t="str">
        <f>"885/2"</f>
        <v>885/2</v>
      </c>
      <c r="C267" t="str">
        <f>"447"</f>
        <v>447</v>
      </c>
      <c r="D267" t="str">
        <f>"lesní pozemek"</f>
        <v>lesní pozemek</v>
      </c>
      <c r="E267" t="str">
        <f>"les jiný než hospodářský"</f>
        <v>les jiný než hospodářský</v>
      </c>
      <c r="F267" t="str">
        <f>"10001"</f>
        <v>10001</v>
      </c>
      <c r="G267" t="str">
        <f>"Statutární město Karviná"</f>
        <v>Statutární město Karviná</v>
      </c>
      <c r="H267" t="str">
        <f>"297534"</f>
        <v>297534</v>
      </c>
      <c r="I267" t="str">
        <f>"jiná právnická osoba (vč. obce a kraje)"</f>
        <v>jiná právnická osoba (vč. obce a kraje)</v>
      </c>
      <c r="J267" t="str">
        <f>"OPO"</f>
        <v>OPO</v>
      </c>
      <c r="K267" t="str">
        <f>"1"</f>
        <v>1</v>
      </c>
      <c r="L267" t="str">
        <f>"Vlastnické právo"</f>
        <v>Vlastnické právo</v>
      </c>
    </row>
    <row r="268" spans="1:12" x14ac:dyDescent="0.25">
      <c r="A268" t="str">
        <f>"Darkov"</f>
        <v>Darkov</v>
      </c>
      <c r="B268" t="str">
        <f>"886/1"</f>
        <v>886/1</v>
      </c>
      <c r="C268" t="str">
        <f>"1169"</f>
        <v>1169</v>
      </c>
      <c r="D268" t="str">
        <f>"lesní pozemek"</f>
        <v>lesní pozemek</v>
      </c>
      <c r="E268" t="str">
        <f>"les jiný než hospodářský"</f>
        <v>les jiný než hospodářský</v>
      </c>
      <c r="F268" t="str">
        <f>"10001"</f>
        <v>10001</v>
      </c>
      <c r="G268" t="str">
        <f>"Statutární město Karviná"</f>
        <v>Statutární město Karviná</v>
      </c>
      <c r="H268" t="str">
        <f>"297534"</f>
        <v>297534</v>
      </c>
      <c r="I268" t="str">
        <f>"jiná právnická osoba (vč. obce a kraje)"</f>
        <v>jiná právnická osoba (vč. obce a kraje)</v>
      </c>
      <c r="J268" t="str">
        <f>"OPO"</f>
        <v>OPO</v>
      </c>
      <c r="K268" t="str">
        <f>"1"</f>
        <v>1</v>
      </c>
      <c r="L268" t="str">
        <f>"Vlastnické právo"</f>
        <v>Vlastnické právo</v>
      </c>
    </row>
    <row r="269" spans="1:12" x14ac:dyDescent="0.25">
      <c r="A269" t="str">
        <f>"Darkov"</f>
        <v>Darkov</v>
      </c>
      <c r="B269" t="str">
        <f>"886/2"</f>
        <v>886/2</v>
      </c>
      <c r="C269" t="str">
        <f>"298"</f>
        <v>298</v>
      </c>
      <c r="D269" t="str">
        <f>"lesní pozemek"</f>
        <v>lesní pozemek</v>
      </c>
      <c r="E269" t="str">
        <f>"les jiný než hospodářský"</f>
        <v>les jiný než hospodářský</v>
      </c>
      <c r="F269" t="str">
        <f>"10001"</f>
        <v>10001</v>
      </c>
      <c r="G269" t="str">
        <f>"Statutární město Karviná"</f>
        <v>Statutární město Karviná</v>
      </c>
      <c r="H269" t="str">
        <f>"297534"</f>
        <v>297534</v>
      </c>
      <c r="I269" t="str">
        <f>"jiná právnická osoba (vč. obce a kraje)"</f>
        <v>jiná právnická osoba (vč. obce a kraje)</v>
      </c>
      <c r="J269" t="str">
        <f>"OPO"</f>
        <v>OPO</v>
      </c>
      <c r="K269" t="str">
        <f>"1"</f>
        <v>1</v>
      </c>
      <c r="L269" t="str">
        <f>"Vlastnické právo"</f>
        <v>Vlastnické právo</v>
      </c>
    </row>
    <row r="270" spans="1:12" x14ac:dyDescent="0.25">
      <c r="A270" t="str">
        <f>"Darkov"</f>
        <v>Darkov</v>
      </c>
      <c r="B270" t="str">
        <f>"886/3"</f>
        <v>886/3</v>
      </c>
      <c r="C270" t="str">
        <f>"335"</f>
        <v>335</v>
      </c>
      <c r="D270" t="str">
        <f>"lesní pozemek"</f>
        <v>lesní pozemek</v>
      </c>
      <c r="E270" t="str">
        <f>"les jiný než hospodářský"</f>
        <v>les jiný než hospodářský</v>
      </c>
      <c r="F270" t="str">
        <f>"10001"</f>
        <v>10001</v>
      </c>
      <c r="G270" t="str">
        <f>"Statutární město Karviná"</f>
        <v>Statutární město Karviná</v>
      </c>
      <c r="H270" t="str">
        <f>"297534"</f>
        <v>297534</v>
      </c>
      <c r="I270" t="str">
        <f>"jiná právnická osoba (vč. obce a kraje)"</f>
        <v>jiná právnická osoba (vč. obce a kraje)</v>
      </c>
      <c r="J270" t="str">
        <f>"OPO"</f>
        <v>OPO</v>
      </c>
      <c r="K270" t="str">
        <f>"1"</f>
        <v>1</v>
      </c>
      <c r="L270" t="str">
        <f>"Vlastnické právo"</f>
        <v>Vlastnické právo</v>
      </c>
    </row>
    <row r="271" spans="1:12" x14ac:dyDescent="0.25">
      <c r="A271" t="str">
        <f>"Darkov"</f>
        <v>Darkov</v>
      </c>
      <c r="B271" t="str">
        <f>"887"</f>
        <v>887</v>
      </c>
      <c r="C271" t="str">
        <f>"1799"</f>
        <v>1799</v>
      </c>
      <c r="D271" t="str">
        <f>"lesní pozemek"</f>
        <v>lesní pozemek</v>
      </c>
      <c r="E271" t="str">
        <f>"les jiný než hospodářský"</f>
        <v>les jiný než hospodářský</v>
      </c>
      <c r="F271" t="str">
        <f>"10001"</f>
        <v>10001</v>
      </c>
      <c r="G271" t="str">
        <f>"Statutární město Karviná"</f>
        <v>Statutární město Karviná</v>
      </c>
      <c r="H271" t="str">
        <f>"297534"</f>
        <v>297534</v>
      </c>
      <c r="I271" t="str">
        <f>"jiná právnická osoba (vč. obce a kraje)"</f>
        <v>jiná právnická osoba (vč. obce a kraje)</v>
      </c>
      <c r="J271" t="str">
        <f>"OPO"</f>
        <v>OPO</v>
      </c>
      <c r="K271" t="str">
        <f>"1"</f>
        <v>1</v>
      </c>
      <c r="L271" t="str">
        <f>"Vlastnické právo"</f>
        <v>Vlastnické právo</v>
      </c>
    </row>
    <row r="272" spans="1:12" x14ac:dyDescent="0.25">
      <c r="A272" t="str">
        <f>"Darkov"</f>
        <v>Darkov</v>
      </c>
      <c r="B272" t="str">
        <f>"888/1"</f>
        <v>888/1</v>
      </c>
      <c r="C272" t="str">
        <f>"1497"</f>
        <v>1497</v>
      </c>
      <c r="D272" t="str">
        <f>"lesní pozemek"</f>
        <v>lesní pozemek</v>
      </c>
      <c r="E272" t="str">
        <f>"les jiný než hospodářský"</f>
        <v>les jiný než hospodářský</v>
      </c>
      <c r="F272" t="str">
        <f>"10001"</f>
        <v>10001</v>
      </c>
      <c r="G272" t="str">
        <f>"Statutární město Karviná"</f>
        <v>Statutární město Karviná</v>
      </c>
      <c r="H272" t="str">
        <f>"297534"</f>
        <v>297534</v>
      </c>
      <c r="I272" t="str">
        <f>"jiná právnická osoba (vč. obce a kraje)"</f>
        <v>jiná právnická osoba (vč. obce a kraje)</v>
      </c>
      <c r="J272" t="str">
        <f>"OPO"</f>
        <v>OPO</v>
      </c>
      <c r="K272" t="str">
        <f>"1"</f>
        <v>1</v>
      </c>
      <c r="L272" t="str">
        <f>"Vlastnické právo"</f>
        <v>Vlastnické právo</v>
      </c>
    </row>
    <row r="273" spans="1:12" x14ac:dyDescent="0.25">
      <c r="A273" t="str">
        <f>"Darkov"</f>
        <v>Darkov</v>
      </c>
      <c r="B273" t="str">
        <f>"888/2"</f>
        <v>888/2</v>
      </c>
      <c r="C273" t="str">
        <f>"303"</f>
        <v>303</v>
      </c>
      <c r="D273" t="str">
        <f>"lesní pozemek"</f>
        <v>lesní pozemek</v>
      </c>
      <c r="E273" t="str">
        <f>"les jiný než hospodářský"</f>
        <v>les jiný než hospodářský</v>
      </c>
      <c r="F273" t="str">
        <f>"10001"</f>
        <v>10001</v>
      </c>
      <c r="G273" t="str">
        <f>"Statutární město Karviná"</f>
        <v>Statutární město Karviná</v>
      </c>
      <c r="H273" t="str">
        <f>"297534"</f>
        <v>297534</v>
      </c>
      <c r="I273" t="str">
        <f>"jiná právnická osoba (vč. obce a kraje)"</f>
        <v>jiná právnická osoba (vč. obce a kraje)</v>
      </c>
      <c r="J273" t="str">
        <f>"OPO"</f>
        <v>OPO</v>
      </c>
      <c r="K273" t="str">
        <f>"1"</f>
        <v>1</v>
      </c>
      <c r="L273" t="str">
        <f>"Vlastnické právo"</f>
        <v>Vlastnické právo</v>
      </c>
    </row>
    <row r="274" spans="1:12" x14ac:dyDescent="0.25">
      <c r="A274" t="str">
        <f>"Darkov"</f>
        <v>Darkov</v>
      </c>
      <c r="B274" t="str">
        <f>"889/1"</f>
        <v>889/1</v>
      </c>
      <c r="C274" t="str">
        <f>"1251"</f>
        <v>1251</v>
      </c>
      <c r="D274" t="str">
        <f>"lesní pozemek"</f>
        <v>lesní pozemek</v>
      </c>
      <c r="E274" t="str">
        <f>"les jiný než hospodářský"</f>
        <v>les jiný než hospodářský</v>
      </c>
      <c r="F274" t="str">
        <f>"10001"</f>
        <v>10001</v>
      </c>
      <c r="G274" t="str">
        <f>"Statutární město Karviná"</f>
        <v>Statutární město Karviná</v>
      </c>
      <c r="H274" t="str">
        <f>"297534"</f>
        <v>297534</v>
      </c>
      <c r="I274" t="str">
        <f>"jiná právnická osoba (vč. obce a kraje)"</f>
        <v>jiná právnická osoba (vč. obce a kraje)</v>
      </c>
      <c r="J274" t="str">
        <f>"OPO"</f>
        <v>OPO</v>
      </c>
      <c r="K274" t="str">
        <f>"1"</f>
        <v>1</v>
      </c>
      <c r="L274" t="str">
        <f>"Vlastnické právo"</f>
        <v>Vlastnické právo</v>
      </c>
    </row>
    <row r="275" spans="1:12" x14ac:dyDescent="0.25">
      <c r="A275" t="str">
        <f>"Darkov"</f>
        <v>Darkov</v>
      </c>
      <c r="B275" t="str">
        <f>"889/2"</f>
        <v>889/2</v>
      </c>
      <c r="C275" t="str">
        <f>"534"</f>
        <v>534</v>
      </c>
      <c r="D275" t="str">
        <f>"lesní pozemek"</f>
        <v>lesní pozemek</v>
      </c>
      <c r="E275" t="str">
        <f>"les jiný než hospodářský"</f>
        <v>les jiný než hospodářský</v>
      </c>
      <c r="F275" t="str">
        <f>"10001"</f>
        <v>10001</v>
      </c>
      <c r="G275" t="str">
        <f>"Statutární město Karviná"</f>
        <v>Statutární město Karviná</v>
      </c>
      <c r="H275" t="str">
        <f>"297534"</f>
        <v>297534</v>
      </c>
      <c r="I275" t="str">
        <f>"jiná právnická osoba (vč. obce a kraje)"</f>
        <v>jiná právnická osoba (vč. obce a kraje)</v>
      </c>
      <c r="J275" t="str">
        <f>"OPO"</f>
        <v>OPO</v>
      </c>
      <c r="K275" t="str">
        <f>"1"</f>
        <v>1</v>
      </c>
      <c r="L275" t="str">
        <f>"Vlastnické právo"</f>
        <v>Vlastnické právo</v>
      </c>
    </row>
    <row r="276" spans="1:12" x14ac:dyDescent="0.25">
      <c r="A276" t="str">
        <f>"Darkov"</f>
        <v>Darkov</v>
      </c>
      <c r="B276" t="str">
        <f>"890/1"</f>
        <v>890/1</v>
      </c>
      <c r="C276" t="str">
        <f>"1721"</f>
        <v>1721</v>
      </c>
      <c r="D276" t="str">
        <f>"lesní pozemek"</f>
        <v>lesní pozemek</v>
      </c>
      <c r="E276" t="str">
        <f>"les jiný než hospodářský"</f>
        <v>les jiný než hospodářský</v>
      </c>
      <c r="F276" t="str">
        <f>"10001"</f>
        <v>10001</v>
      </c>
      <c r="G276" t="str">
        <f>"Statutární město Karviná"</f>
        <v>Statutární město Karviná</v>
      </c>
      <c r="H276" t="str">
        <f>"297534"</f>
        <v>297534</v>
      </c>
      <c r="I276" t="str">
        <f>"jiná právnická osoba (vč. obce a kraje)"</f>
        <v>jiná právnická osoba (vč. obce a kraje)</v>
      </c>
      <c r="J276" t="str">
        <f>"OPO"</f>
        <v>OPO</v>
      </c>
      <c r="K276" t="str">
        <f>"1"</f>
        <v>1</v>
      </c>
      <c r="L276" t="str">
        <f>"Vlastnické právo"</f>
        <v>Vlastnické právo</v>
      </c>
    </row>
    <row r="277" spans="1:12" x14ac:dyDescent="0.25">
      <c r="A277" t="str">
        <f>"Darkov"</f>
        <v>Darkov</v>
      </c>
      <c r="B277" t="str">
        <f>"890/2"</f>
        <v>890/2</v>
      </c>
      <c r="C277" t="str">
        <f>"59"</f>
        <v>59</v>
      </c>
      <c r="D277" t="str">
        <f>"lesní pozemek"</f>
        <v>lesní pozemek</v>
      </c>
      <c r="E277" t="str">
        <f>"les jiný než hospodářský"</f>
        <v>les jiný než hospodářský</v>
      </c>
      <c r="F277" t="str">
        <f>"10001"</f>
        <v>10001</v>
      </c>
      <c r="G277" t="str">
        <f>"Statutární město Karviná"</f>
        <v>Statutární město Karviná</v>
      </c>
      <c r="H277" t="str">
        <f>"297534"</f>
        <v>297534</v>
      </c>
      <c r="I277" t="str">
        <f>"jiná právnická osoba (vč. obce a kraje)"</f>
        <v>jiná právnická osoba (vč. obce a kraje)</v>
      </c>
      <c r="J277" t="str">
        <f>"OPO"</f>
        <v>OPO</v>
      </c>
      <c r="K277" t="str">
        <f>"1"</f>
        <v>1</v>
      </c>
      <c r="L277" t="str">
        <f>"Vlastnické právo"</f>
        <v>Vlastnické právo</v>
      </c>
    </row>
    <row r="278" spans="1:12" x14ac:dyDescent="0.25">
      <c r="A278" t="str">
        <f>"Darkov"</f>
        <v>Darkov</v>
      </c>
      <c r="B278" t="str">
        <f>"891"</f>
        <v>891</v>
      </c>
      <c r="C278" t="str">
        <f>"3027"</f>
        <v>3027</v>
      </c>
      <c r="D278" t="str">
        <f>"lesní pozemek"</f>
        <v>lesní pozemek</v>
      </c>
      <c r="E278" t="str">
        <f>""</f>
        <v/>
      </c>
      <c r="F278" t="str">
        <f>"10001"</f>
        <v>10001</v>
      </c>
      <c r="G278" t="str">
        <f>"Statutární město Karviná"</f>
        <v>Statutární město Karviná</v>
      </c>
      <c r="H278" t="str">
        <f>"297534"</f>
        <v>297534</v>
      </c>
      <c r="I278" t="str">
        <f>"jiná právnická osoba (vč. obce a kraje)"</f>
        <v>jiná právnická osoba (vč. obce a kraje)</v>
      </c>
      <c r="J278" t="str">
        <f>"OPO"</f>
        <v>OPO</v>
      </c>
      <c r="K278" t="str">
        <f>"1"</f>
        <v>1</v>
      </c>
      <c r="L278" t="str">
        <f>"Vlastnické právo"</f>
        <v>Vlastnické právo</v>
      </c>
    </row>
    <row r="279" spans="1:12" x14ac:dyDescent="0.25">
      <c r="A279" t="str">
        <f>"Darkov"</f>
        <v>Darkov</v>
      </c>
      <c r="B279" t="str">
        <f>"892/1"</f>
        <v>892/1</v>
      </c>
      <c r="C279" t="str">
        <f>"1437"</f>
        <v>1437</v>
      </c>
      <c r="D279" t="str">
        <f>"lesní pozemek"</f>
        <v>lesní pozemek</v>
      </c>
      <c r="E279" t="str">
        <f>"les jiný než hospodářský"</f>
        <v>les jiný než hospodářský</v>
      </c>
      <c r="F279" t="str">
        <f>"10001"</f>
        <v>10001</v>
      </c>
      <c r="G279" t="str">
        <f>"Statutární město Karviná"</f>
        <v>Statutární město Karviná</v>
      </c>
      <c r="H279" t="str">
        <f>"297534"</f>
        <v>297534</v>
      </c>
      <c r="I279" t="str">
        <f>"jiná právnická osoba (vč. obce a kraje)"</f>
        <v>jiná právnická osoba (vč. obce a kraje)</v>
      </c>
      <c r="J279" t="str">
        <f>"OPO"</f>
        <v>OPO</v>
      </c>
      <c r="K279" t="str">
        <f>"1"</f>
        <v>1</v>
      </c>
      <c r="L279" t="str">
        <f>"Vlastnické právo"</f>
        <v>Vlastnické právo</v>
      </c>
    </row>
    <row r="280" spans="1:12" x14ac:dyDescent="0.25">
      <c r="A280" t="str">
        <f>"Darkov"</f>
        <v>Darkov</v>
      </c>
      <c r="B280" t="str">
        <f>"892/2"</f>
        <v>892/2</v>
      </c>
      <c r="C280" t="str">
        <f>"361"</f>
        <v>361</v>
      </c>
      <c r="D280" t="str">
        <f>"lesní pozemek"</f>
        <v>lesní pozemek</v>
      </c>
      <c r="E280" t="str">
        <f>"les jiný než hospodářský"</f>
        <v>les jiný než hospodářský</v>
      </c>
      <c r="F280" t="str">
        <f>"10001"</f>
        <v>10001</v>
      </c>
      <c r="G280" t="str">
        <f>"Statutární město Karviná"</f>
        <v>Statutární město Karviná</v>
      </c>
      <c r="H280" t="str">
        <f>"297534"</f>
        <v>297534</v>
      </c>
      <c r="I280" t="str">
        <f>"jiná právnická osoba (vč. obce a kraje)"</f>
        <v>jiná právnická osoba (vč. obce a kraje)</v>
      </c>
      <c r="J280" t="str">
        <f>"OPO"</f>
        <v>OPO</v>
      </c>
      <c r="K280" t="str">
        <f>"1"</f>
        <v>1</v>
      </c>
      <c r="L280" t="str">
        <f>"Vlastnické právo"</f>
        <v>Vlastnické právo</v>
      </c>
    </row>
    <row r="281" spans="1:12" x14ac:dyDescent="0.25">
      <c r="A281" t="str">
        <f>"Darkov"</f>
        <v>Darkov</v>
      </c>
      <c r="B281" t="str">
        <f>"893"</f>
        <v>893</v>
      </c>
      <c r="C281" t="str">
        <f>"1795"</f>
        <v>1795</v>
      </c>
      <c r="D281" t="str">
        <f>"lesní pozemek"</f>
        <v>lesní pozemek</v>
      </c>
      <c r="E281" t="str">
        <f>"les jiný než hospodářský"</f>
        <v>les jiný než hospodářský</v>
      </c>
      <c r="F281" t="str">
        <f>"10001"</f>
        <v>10001</v>
      </c>
      <c r="G281" t="str">
        <f>"Statutární město Karviná"</f>
        <v>Statutární město Karviná</v>
      </c>
      <c r="H281" t="str">
        <f>"297534"</f>
        <v>297534</v>
      </c>
      <c r="I281" t="str">
        <f>"jiná právnická osoba (vč. obce a kraje)"</f>
        <v>jiná právnická osoba (vč. obce a kraje)</v>
      </c>
      <c r="J281" t="str">
        <f>"OPO"</f>
        <v>OPO</v>
      </c>
      <c r="K281" t="str">
        <f>"1"</f>
        <v>1</v>
      </c>
      <c r="L281" t="str">
        <f>"Vlastnické právo"</f>
        <v>Vlastnické právo</v>
      </c>
    </row>
    <row r="282" spans="1:12" x14ac:dyDescent="0.25">
      <c r="A282" t="str">
        <f>"Darkov"</f>
        <v>Darkov</v>
      </c>
      <c r="B282" t="str">
        <f>"894/1"</f>
        <v>894/1</v>
      </c>
      <c r="C282" t="str">
        <f>"1032"</f>
        <v>1032</v>
      </c>
      <c r="D282" t="str">
        <f>"lesní pozemek"</f>
        <v>lesní pozemek</v>
      </c>
      <c r="E282" t="str">
        <f>"les jiný než hospodářský"</f>
        <v>les jiný než hospodářský</v>
      </c>
      <c r="F282" t="str">
        <f>"10001"</f>
        <v>10001</v>
      </c>
      <c r="G282" t="str">
        <f>"Statutární město Karviná"</f>
        <v>Statutární město Karviná</v>
      </c>
      <c r="H282" t="str">
        <f>"297534"</f>
        <v>297534</v>
      </c>
      <c r="I282" t="str">
        <f>"jiná právnická osoba (vč. obce a kraje)"</f>
        <v>jiná právnická osoba (vč. obce a kraje)</v>
      </c>
      <c r="J282" t="str">
        <f>"OPO"</f>
        <v>OPO</v>
      </c>
      <c r="K282" t="str">
        <f>"1"</f>
        <v>1</v>
      </c>
      <c r="L282" t="str">
        <f>"Vlastnické právo"</f>
        <v>Vlastnické právo</v>
      </c>
    </row>
    <row r="283" spans="1:12" x14ac:dyDescent="0.25">
      <c r="A283" t="str">
        <f>"Darkov"</f>
        <v>Darkov</v>
      </c>
      <c r="B283" t="str">
        <f>"894/2"</f>
        <v>894/2</v>
      </c>
      <c r="C283" t="str">
        <f>"792"</f>
        <v>792</v>
      </c>
      <c r="D283" t="str">
        <f>"lesní pozemek"</f>
        <v>lesní pozemek</v>
      </c>
      <c r="E283" t="str">
        <f>"les jiný než hospodářský"</f>
        <v>les jiný než hospodářský</v>
      </c>
      <c r="F283" t="str">
        <f>"10001"</f>
        <v>10001</v>
      </c>
      <c r="G283" t="str">
        <f>"Statutární město Karviná"</f>
        <v>Statutární město Karviná</v>
      </c>
      <c r="H283" t="str">
        <f>"297534"</f>
        <v>297534</v>
      </c>
      <c r="I283" t="str">
        <f>"jiná právnická osoba (vč. obce a kraje)"</f>
        <v>jiná právnická osoba (vč. obce a kraje)</v>
      </c>
      <c r="J283" t="str">
        <f>"OPO"</f>
        <v>OPO</v>
      </c>
      <c r="K283" t="str">
        <f>"1"</f>
        <v>1</v>
      </c>
      <c r="L283" t="str">
        <f>"Vlastnické právo"</f>
        <v>Vlastnické právo</v>
      </c>
    </row>
    <row r="284" spans="1:12" x14ac:dyDescent="0.25">
      <c r="A284" t="str">
        <f>"Darkov"</f>
        <v>Darkov</v>
      </c>
      <c r="B284" t="str">
        <f>"895/1"</f>
        <v>895/1</v>
      </c>
      <c r="C284" t="str">
        <f>"1558"</f>
        <v>1558</v>
      </c>
      <c r="D284" t="str">
        <f>"lesní pozemek"</f>
        <v>lesní pozemek</v>
      </c>
      <c r="E284" t="str">
        <f>"les jiný než hospodářský"</f>
        <v>les jiný než hospodářský</v>
      </c>
      <c r="F284" t="str">
        <f>"10001"</f>
        <v>10001</v>
      </c>
      <c r="G284" t="str">
        <f>"Statutární město Karviná"</f>
        <v>Statutární město Karviná</v>
      </c>
      <c r="H284" t="str">
        <f>"297534"</f>
        <v>297534</v>
      </c>
      <c r="I284" t="str">
        <f>"jiná právnická osoba (vč. obce a kraje)"</f>
        <v>jiná právnická osoba (vč. obce a kraje)</v>
      </c>
      <c r="J284" t="str">
        <f>"OPO"</f>
        <v>OPO</v>
      </c>
      <c r="K284" t="str">
        <f>"1"</f>
        <v>1</v>
      </c>
      <c r="L284" t="str">
        <f>"Vlastnické právo"</f>
        <v>Vlastnické právo</v>
      </c>
    </row>
    <row r="285" spans="1:12" x14ac:dyDescent="0.25">
      <c r="A285" t="str">
        <f>"Darkov"</f>
        <v>Darkov</v>
      </c>
      <c r="B285" t="str">
        <f>"895/2"</f>
        <v>895/2</v>
      </c>
      <c r="C285" t="str">
        <f>"203"</f>
        <v>203</v>
      </c>
      <c r="D285" t="str">
        <f>"lesní pozemek"</f>
        <v>lesní pozemek</v>
      </c>
      <c r="E285" t="str">
        <f>"les jiný než hospodářský"</f>
        <v>les jiný než hospodářský</v>
      </c>
      <c r="F285" t="str">
        <f>"10001"</f>
        <v>10001</v>
      </c>
      <c r="G285" t="str">
        <f>"Statutární město Karviná"</f>
        <v>Statutární město Karviná</v>
      </c>
      <c r="H285" t="str">
        <f>"297534"</f>
        <v>297534</v>
      </c>
      <c r="I285" t="str">
        <f>"jiná právnická osoba (vč. obce a kraje)"</f>
        <v>jiná právnická osoba (vč. obce a kraje)</v>
      </c>
      <c r="J285" t="str">
        <f>"OPO"</f>
        <v>OPO</v>
      </c>
      <c r="K285" t="str">
        <f>"1"</f>
        <v>1</v>
      </c>
      <c r="L285" t="str">
        <f>"Vlastnické právo"</f>
        <v>Vlastnické právo</v>
      </c>
    </row>
    <row r="286" spans="1:12" x14ac:dyDescent="0.25">
      <c r="A286" t="str">
        <f>"Darkov"</f>
        <v>Darkov</v>
      </c>
      <c r="B286" t="str">
        <f>"895/3"</f>
        <v>895/3</v>
      </c>
      <c r="C286" t="str">
        <f>"29"</f>
        <v>29</v>
      </c>
      <c r="D286" t="str">
        <f>"lesní pozemek"</f>
        <v>lesní pozemek</v>
      </c>
      <c r="E286" t="str">
        <f>"les jiný než hospodářský"</f>
        <v>les jiný než hospodářský</v>
      </c>
      <c r="F286" t="str">
        <f>"10001"</f>
        <v>10001</v>
      </c>
      <c r="G286" t="str">
        <f>"Statutární město Karviná"</f>
        <v>Statutární město Karviná</v>
      </c>
      <c r="H286" t="str">
        <f>"297534"</f>
        <v>297534</v>
      </c>
      <c r="I286" t="str">
        <f>"jiná právnická osoba (vč. obce a kraje)"</f>
        <v>jiná právnická osoba (vč. obce a kraje)</v>
      </c>
      <c r="J286" t="str">
        <f>"OPO"</f>
        <v>OPO</v>
      </c>
      <c r="K286" t="str">
        <f>"1"</f>
        <v>1</v>
      </c>
      <c r="L286" t="str">
        <f>"Vlastnické právo"</f>
        <v>Vlastnické právo</v>
      </c>
    </row>
    <row r="287" spans="1:12" x14ac:dyDescent="0.25">
      <c r="A287" t="str">
        <f>"Darkov"</f>
        <v>Darkov</v>
      </c>
      <c r="B287" t="str">
        <f>"896"</f>
        <v>896</v>
      </c>
      <c r="C287" t="str">
        <f>"1605"</f>
        <v>1605</v>
      </c>
      <c r="D287" t="str">
        <f>"lesní pozemek"</f>
        <v>lesní pozemek</v>
      </c>
      <c r="E287" t="str">
        <f>"les jiný než hospodářský"</f>
        <v>les jiný než hospodářský</v>
      </c>
      <c r="F287" t="str">
        <f>"10001"</f>
        <v>10001</v>
      </c>
      <c r="G287" t="str">
        <f>"Statutární město Karviná"</f>
        <v>Statutární město Karviná</v>
      </c>
      <c r="H287" t="str">
        <f>"297534"</f>
        <v>297534</v>
      </c>
      <c r="I287" t="str">
        <f>"jiná právnická osoba (vč. obce a kraje)"</f>
        <v>jiná právnická osoba (vč. obce a kraje)</v>
      </c>
      <c r="J287" t="str">
        <f>"OPO"</f>
        <v>OPO</v>
      </c>
      <c r="K287" t="str">
        <f>"1"</f>
        <v>1</v>
      </c>
      <c r="L287" t="str">
        <f>"Vlastnické právo"</f>
        <v>Vlastnické právo</v>
      </c>
    </row>
    <row r="288" spans="1:12" x14ac:dyDescent="0.25">
      <c r="A288" t="str">
        <f>"Darkov"</f>
        <v>Darkov</v>
      </c>
      <c r="B288" t="str">
        <f>"897"</f>
        <v>897</v>
      </c>
      <c r="C288" t="str">
        <f>"200"</f>
        <v>200</v>
      </c>
      <c r="D288" t="str">
        <f>"lesní pozemek"</f>
        <v>lesní pozemek</v>
      </c>
      <c r="E288" t="str">
        <f>"les jiný než hospodářský"</f>
        <v>les jiný než hospodářský</v>
      </c>
      <c r="F288" t="str">
        <f>"10001"</f>
        <v>10001</v>
      </c>
      <c r="G288" t="str">
        <f>"Statutární město Karviná"</f>
        <v>Statutární město Karviná</v>
      </c>
      <c r="H288" t="str">
        <f>"297534"</f>
        <v>297534</v>
      </c>
      <c r="I288" t="str">
        <f>"jiná právnická osoba (vč. obce a kraje)"</f>
        <v>jiná právnická osoba (vč. obce a kraje)</v>
      </c>
      <c r="J288" t="str">
        <f>"OPO"</f>
        <v>OPO</v>
      </c>
      <c r="K288" t="str">
        <f>"1"</f>
        <v>1</v>
      </c>
      <c r="L288" t="str">
        <f>"Vlastnické právo"</f>
        <v>Vlastnické právo</v>
      </c>
    </row>
    <row r="289" spans="1:12" x14ac:dyDescent="0.25">
      <c r="A289" t="str">
        <f>"Darkov"</f>
        <v>Darkov</v>
      </c>
      <c r="B289" t="str">
        <f>"898/1"</f>
        <v>898/1</v>
      </c>
      <c r="C289" t="str">
        <f>"1721"</f>
        <v>1721</v>
      </c>
      <c r="D289" t="str">
        <f>"lesní pozemek"</f>
        <v>lesní pozemek</v>
      </c>
      <c r="E289" t="str">
        <f>"les jiný než hospodářský"</f>
        <v>les jiný než hospodářský</v>
      </c>
      <c r="F289" t="str">
        <f>"10001"</f>
        <v>10001</v>
      </c>
      <c r="G289" t="str">
        <f>"Statutární město Karviná"</f>
        <v>Statutární město Karviná</v>
      </c>
      <c r="H289" t="str">
        <f>"297534"</f>
        <v>297534</v>
      </c>
      <c r="I289" t="str">
        <f>"jiná právnická osoba (vč. obce a kraje)"</f>
        <v>jiná právnická osoba (vč. obce a kraje)</v>
      </c>
      <c r="J289" t="str">
        <f>"OPO"</f>
        <v>OPO</v>
      </c>
      <c r="K289" t="str">
        <f>"1"</f>
        <v>1</v>
      </c>
      <c r="L289" t="str">
        <f>"Vlastnické právo"</f>
        <v>Vlastnické právo</v>
      </c>
    </row>
    <row r="290" spans="1:12" x14ac:dyDescent="0.25">
      <c r="A290" t="str">
        <f>"Darkov"</f>
        <v>Darkov</v>
      </c>
      <c r="B290" t="str">
        <f>"898/2"</f>
        <v>898/2</v>
      </c>
      <c r="C290" t="str">
        <f>"89"</f>
        <v>89</v>
      </c>
      <c r="D290" t="str">
        <f>"lesní pozemek"</f>
        <v>lesní pozemek</v>
      </c>
      <c r="E290" t="str">
        <f>"les jiný než hospodářský"</f>
        <v>les jiný než hospodářský</v>
      </c>
      <c r="F290" t="str">
        <f>"10001"</f>
        <v>10001</v>
      </c>
      <c r="G290" t="str">
        <f>"Statutární město Karviná"</f>
        <v>Statutární město Karviná</v>
      </c>
      <c r="H290" t="str">
        <f>"297534"</f>
        <v>297534</v>
      </c>
      <c r="I290" t="str">
        <f>"jiná právnická osoba (vč. obce a kraje)"</f>
        <v>jiná právnická osoba (vč. obce a kraje)</v>
      </c>
      <c r="J290" t="str">
        <f>"OPO"</f>
        <v>OPO</v>
      </c>
      <c r="K290" t="str">
        <f>"1"</f>
        <v>1</v>
      </c>
      <c r="L290" t="str">
        <f>"Vlastnické právo"</f>
        <v>Vlastnické právo</v>
      </c>
    </row>
    <row r="291" spans="1:12" x14ac:dyDescent="0.25">
      <c r="A291" t="str">
        <f>"Darkov"</f>
        <v>Darkov</v>
      </c>
      <c r="B291" t="str">
        <f>"899/1"</f>
        <v>899/1</v>
      </c>
      <c r="C291" t="str">
        <f>"1336"</f>
        <v>1336</v>
      </c>
      <c r="D291" t="str">
        <f>"lesní pozemek"</f>
        <v>lesní pozemek</v>
      </c>
      <c r="E291" t="str">
        <f>"les jiný než hospodářský"</f>
        <v>les jiný než hospodářský</v>
      </c>
      <c r="F291" t="str">
        <f>"10001"</f>
        <v>10001</v>
      </c>
      <c r="G291" t="str">
        <f>"Statutární město Karviná"</f>
        <v>Statutární město Karviná</v>
      </c>
      <c r="H291" t="str">
        <f>"297534"</f>
        <v>297534</v>
      </c>
      <c r="I291" t="str">
        <f>"jiná právnická osoba (vč. obce a kraje)"</f>
        <v>jiná právnická osoba (vč. obce a kraje)</v>
      </c>
      <c r="J291" t="str">
        <f>"OPO"</f>
        <v>OPO</v>
      </c>
      <c r="K291" t="str">
        <f>"1"</f>
        <v>1</v>
      </c>
      <c r="L291" t="str">
        <f>"Vlastnické právo"</f>
        <v>Vlastnické právo</v>
      </c>
    </row>
    <row r="292" spans="1:12" x14ac:dyDescent="0.25">
      <c r="A292" t="str">
        <f>"Darkov"</f>
        <v>Darkov</v>
      </c>
      <c r="B292" t="str">
        <f>"899/2"</f>
        <v>899/2</v>
      </c>
      <c r="C292" t="str">
        <f>"471"</f>
        <v>471</v>
      </c>
      <c r="D292" t="str">
        <f>"lesní pozemek"</f>
        <v>lesní pozemek</v>
      </c>
      <c r="E292" t="str">
        <f>"les jiný než hospodářský"</f>
        <v>les jiný než hospodářský</v>
      </c>
      <c r="F292" t="str">
        <f>"10001"</f>
        <v>10001</v>
      </c>
      <c r="G292" t="str">
        <f>"Statutární město Karviná"</f>
        <v>Statutární město Karviná</v>
      </c>
      <c r="H292" t="str">
        <f>"297534"</f>
        <v>297534</v>
      </c>
      <c r="I292" t="str">
        <f>"jiná právnická osoba (vč. obce a kraje)"</f>
        <v>jiná právnická osoba (vč. obce a kraje)</v>
      </c>
      <c r="J292" t="str">
        <f>"OPO"</f>
        <v>OPO</v>
      </c>
      <c r="K292" t="str">
        <f>"1"</f>
        <v>1</v>
      </c>
      <c r="L292" t="str">
        <f>"Vlastnické právo"</f>
        <v>Vlastnické právo</v>
      </c>
    </row>
    <row r="293" spans="1:12" x14ac:dyDescent="0.25">
      <c r="A293" t="str">
        <f>"Darkov"</f>
        <v>Darkov</v>
      </c>
      <c r="B293" t="str">
        <f>"900/1"</f>
        <v>900/1</v>
      </c>
      <c r="C293" t="str">
        <f>"1215"</f>
        <v>1215</v>
      </c>
      <c r="D293" t="str">
        <f>"lesní pozemek"</f>
        <v>lesní pozemek</v>
      </c>
      <c r="E293" t="str">
        <f>"les jiný než hospodářský"</f>
        <v>les jiný než hospodářský</v>
      </c>
      <c r="F293" t="str">
        <f>"10001"</f>
        <v>10001</v>
      </c>
      <c r="G293" t="str">
        <f>"Statutární město Karviná"</f>
        <v>Statutární město Karviná</v>
      </c>
      <c r="H293" t="str">
        <f>"297534"</f>
        <v>297534</v>
      </c>
      <c r="I293" t="str">
        <f>"jiná právnická osoba (vč. obce a kraje)"</f>
        <v>jiná právnická osoba (vč. obce a kraje)</v>
      </c>
      <c r="J293" t="str">
        <f>"OPO"</f>
        <v>OPO</v>
      </c>
      <c r="K293" t="str">
        <f>"1"</f>
        <v>1</v>
      </c>
      <c r="L293" t="str">
        <f>"Vlastnické právo"</f>
        <v>Vlastnické právo</v>
      </c>
    </row>
    <row r="294" spans="1:12" x14ac:dyDescent="0.25">
      <c r="A294" t="str">
        <f>"Darkov"</f>
        <v>Darkov</v>
      </c>
      <c r="B294" t="str">
        <f>"900/2"</f>
        <v>900/2</v>
      </c>
      <c r="C294" t="str">
        <f>"562"</f>
        <v>562</v>
      </c>
      <c r="D294" t="str">
        <f>"lesní pozemek"</f>
        <v>lesní pozemek</v>
      </c>
      <c r="E294" t="str">
        <f>"les jiný než hospodářský"</f>
        <v>les jiný než hospodářský</v>
      </c>
      <c r="F294" t="str">
        <f>"10001"</f>
        <v>10001</v>
      </c>
      <c r="G294" t="str">
        <f>"Statutární město Karviná"</f>
        <v>Statutární město Karviná</v>
      </c>
      <c r="H294" t="str">
        <f>"297534"</f>
        <v>297534</v>
      </c>
      <c r="I294" t="str">
        <f>"jiná právnická osoba (vč. obce a kraje)"</f>
        <v>jiná právnická osoba (vč. obce a kraje)</v>
      </c>
      <c r="J294" t="str">
        <f>"OPO"</f>
        <v>OPO</v>
      </c>
      <c r="K294" t="str">
        <f>"1"</f>
        <v>1</v>
      </c>
      <c r="L294" t="str">
        <f>"Vlastnické právo"</f>
        <v>Vlastnické právo</v>
      </c>
    </row>
    <row r="295" spans="1:12" x14ac:dyDescent="0.25">
      <c r="A295" t="str">
        <f>"Darkov"</f>
        <v>Darkov</v>
      </c>
      <c r="B295" t="str">
        <f>"900/3"</f>
        <v>900/3</v>
      </c>
      <c r="C295" t="str">
        <f>"16"</f>
        <v>16</v>
      </c>
      <c r="D295" t="str">
        <f>"lesní pozemek"</f>
        <v>lesní pozemek</v>
      </c>
      <c r="E295" t="str">
        <f>"les jiný než hospodářský"</f>
        <v>les jiný než hospodářský</v>
      </c>
      <c r="F295" t="str">
        <f>"10001"</f>
        <v>10001</v>
      </c>
      <c r="G295" t="str">
        <f>"Statutární město Karviná"</f>
        <v>Statutární město Karviná</v>
      </c>
      <c r="H295" t="str">
        <f>"297534"</f>
        <v>297534</v>
      </c>
      <c r="I295" t="str">
        <f>"jiná právnická osoba (vč. obce a kraje)"</f>
        <v>jiná právnická osoba (vč. obce a kraje)</v>
      </c>
      <c r="J295" t="str">
        <f>"OPO"</f>
        <v>OPO</v>
      </c>
      <c r="K295" t="str">
        <f>"1"</f>
        <v>1</v>
      </c>
      <c r="L295" t="str">
        <f>"Vlastnické právo"</f>
        <v>Vlastnické právo</v>
      </c>
    </row>
    <row r="296" spans="1:12" x14ac:dyDescent="0.25">
      <c r="A296" t="str">
        <f>"Darkov"</f>
        <v>Darkov</v>
      </c>
      <c r="B296" t="str">
        <f>"900/4"</f>
        <v>900/4</v>
      </c>
      <c r="C296" t="str">
        <f>"7"</f>
        <v>7</v>
      </c>
      <c r="D296" t="str">
        <f>"lesní pozemek"</f>
        <v>lesní pozemek</v>
      </c>
      <c r="E296" t="str">
        <f>"les jiný než hospodářský"</f>
        <v>les jiný než hospodářský</v>
      </c>
      <c r="F296" t="str">
        <f>"10001"</f>
        <v>10001</v>
      </c>
      <c r="G296" t="str">
        <f>"Statutární město Karviná"</f>
        <v>Statutární město Karviná</v>
      </c>
      <c r="H296" t="str">
        <f>"297534"</f>
        <v>297534</v>
      </c>
      <c r="I296" t="str">
        <f>"jiná právnická osoba (vč. obce a kraje)"</f>
        <v>jiná právnická osoba (vč. obce a kraje)</v>
      </c>
      <c r="J296" t="str">
        <f>"OPO"</f>
        <v>OPO</v>
      </c>
      <c r="K296" t="str">
        <f>"1"</f>
        <v>1</v>
      </c>
      <c r="L296" t="str">
        <f>"Vlastnické právo"</f>
        <v>Vlastnické právo</v>
      </c>
    </row>
    <row r="297" spans="1:12" x14ac:dyDescent="0.25">
      <c r="A297" t="str">
        <f>"Darkov"</f>
        <v>Darkov</v>
      </c>
      <c r="B297" t="str">
        <f>"901/1"</f>
        <v>901/1</v>
      </c>
      <c r="C297" t="str">
        <f>"1433"</f>
        <v>1433</v>
      </c>
      <c r="D297" t="str">
        <f>"lesní pozemek"</f>
        <v>lesní pozemek</v>
      </c>
      <c r="E297" t="str">
        <f>"les jiný než hospodářský"</f>
        <v>les jiný než hospodářský</v>
      </c>
      <c r="F297" t="str">
        <f>"10001"</f>
        <v>10001</v>
      </c>
      <c r="G297" t="str">
        <f>"Statutární město Karviná"</f>
        <v>Statutární město Karviná</v>
      </c>
      <c r="H297" t="str">
        <f>"297534"</f>
        <v>297534</v>
      </c>
      <c r="I297" t="str">
        <f>"jiná právnická osoba (vč. obce a kraje)"</f>
        <v>jiná právnická osoba (vč. obce a kraje)</v>
      </c>
      <c r="J297" t="str">
        <f>"OPO"</f>
        <v>OPO</v>
      </c>
      <c r="K297" t="str">
        <f>"1"</f>
        <v>1</v>
      </c>
      <c r="L297" t="str">
        <f>"Vlastnické právo"</f>
        <v>Vlastnické právo</v>
      </c>
    </row>
    <row r="298" spans="1:12" x14ac:dyDescent="0.25">
      <c r="A298" t="str">
        <f>"Darkov"</f>
        <v>Darkov</v>
      </c>
      <c r="B298" t="str">
        <f>"901/2"</f>
        <v>901/2</v>
      </c>
      <c r="C298" t="str">
        <f>"368"</f>
        <v>368</v>
      </c>
      <c r="D298" t="str">
        <f>"lesní pozemek"</f>
        <v>lesní pozemek</v>
      </c>
      <c r="E298" t="str">
        <f>"les jiný než hospodářský"</f>
        <v>les jiný než hospodářský</v>
      </c>
      <c r="F298" t="str">
        <f>"10001"</f>
        <v>10001</v>
      </c>
      <c r="G298" t="str">
        <f>"Statutární město Karviná"</f>
        <v>Statutární město Karviná</v>
      </c>
      <c r="H298" t="str">
        <f>"297534"</f>
        <v>297534</v>
      </c>
      <c r="I298" t="str">
        <f>"jiná právnická osoba (vč. obce a kraje)"</f>
        <v>jiná právnická osoba (vč. obce a kraje)</v>
      </c>
      <c r="J298" t="str">
        <f>"OPO"</f>
        <v>OPO</v>
      </c>
      <c r="K298" t="str">
        <f>"1"</f>
        <v>1</v>
      </c>
      <c r="L298" t="str">
        <f>"Vlastnické právo"</f>
        <v>Vlastnické právo</v>
      </c>
    </row>
    <row r="299" spans="1:12" x14ac:dyDescent="0.25">
      <c r="A299" t="str">
        <f>"Darkov"</f>
        <v>Darkov</v>
      </c>
      <c r="B299" t="str">
        <f>"902"</f>
        <v>902</v>
      </c>
      <c r="C299" t="str">
        <f>"1779"</f>
        <v>1779</v>
      </c>
      <c r="D299" t="str">
        <f>"lesní pozemek"</f>
        <v>lesní pozemek</v>
      </c>
      <c r="E299" t="str">
        <f>"les jiný než hospodářský"</f>
        <v>les jiný než hospodářský</v>
      </c>
      <c r="F299" t="str">
        <f>"10001"</f>
        <v>10001</v>
      </c>
      <c r="G299" t="str">
        <f>"Statutární město Karviná"</f>
        <v>Statutární město Karviná</v>
      </c>
      <c r="H299" t="str">
        <f>"297534"</f>
        <v>297534</v>
      </c>
      <c r="I299" t="str">
        <f>"jiná právnická osoba (vč. obce a kraje)"</f>
        <v>jiná právnická osoba (vč. obce a kraje)</v>
      </c>
      <c r="J299" t="str">
        <f>"OPO"</f>
        <v>OPO</v>
      </c>
      <c r="K299" t="str">
        <f>"1"</f>
        <v>1</v>
      </c>
      <c r="L299" t="str">
        <f>"Vlastnické právo"</f>
        <v>Vlastnické právo</v>
      </c>
    </row>
    <row r="300" spans="1:12" x14ac:dyDescent="0.25">
      <c r="A300" t="str">
        <f>"Darkov"</f>
        <v>Darkov</v>
      </c>
      <c r="B300" t="str">
        <f>"903/1"</f>
        <v>903/1</v>
      </c>
      <c r="C300" t="str">
        <f>"1268"</f>
        <v>1268</v>
      </c>
      <c r="D300" t="str">
        <f>"lesní pozemek"</f>
        <v>lesní pozemek</v>
      </c>
      <c r="E300" t="str">
        <f>"les jiný než hospodářský"</f>
        <v>les jiný než hospodářský</v>
      </c>
      <c r="F300" t="str">
        <f>"10001"</f>
        <v>10001</v>
      </c>
      <c r="G300" t="str">
        <f>"Statutární město Karviná"</f>
        <v>Statutární město Karviná</v>
      </c>
      <c r="H300" t="str">
        <f>"297534"</f>
        <v>297534</v>
      </c>
      <c r="I300" t="str">
        <f>"jiná právnická osoba (vč. obce a kraje)"</f>
        <v>jiná právnická osoba (vč. obce a kraje)</v>
      </c>
      <c r="J300" t="str">
        <f>"OPO"</f>
        <v>OPO</v>
      </c>
      <c r="K300" t="str">
        <f>"1"</f>
        <v>1</v>
      </c>
      <c r="L300" t="str">
        <f>"Vlastnické právo"</f>
        <v>Vlastnické právo</v>
      </c>
    </row>
    <row r="301" spans="1:12" x14ac:dyDescent="0.25">
      <c r="A301" t="str">
        <f>"Darkov"</f>
        <v>Darkov</v>
      </c>
      <c r="B301" t="str">
        <f>"903/2"</f>
        <v>903/2</v>
      </c>
      <c r="C301" t="str">
        <f>"489"</f>
        <v>489</v>
      </c>
      <c r="D301" t="str">
        <f>"lesní pozemek"</f>
        <v>lesní pozemek</v>
      </c>
      <c r="E301" t="str">
        <f>"les jiný než hospodářský"</f>
        <v>les jiný než hospodářský</v>
      </c>
      <c r="F301" t="str">
        <f>"10001"</f>
        <v>10001</v>
      </c>
      <c r="G301" t="str">
        <f>"Statutární město Karviná"</f>
        <v>Statutární město Karviná</v>
      </c>
      <c r="H301" t="str">
        <f>"297534"</f>
        <v>297534</v>
      </c>
      <c r="I301" t="str">
        <f>"jiná právnická osoba (vč. obce a kraje)"</f>
        <v>jiná právnická osoba (vč. obce a kraje)</v>
      </c>
      <c r="J301" t="str">
        <f>"OPO"</f>
        <v>OPO</v>
      </c>
      <c r="K301" t="str">
        <f>"1"</f>
        <v>1</v>
      </c>
      <c r="L301" t="str">
        <f>"Vlastnické právo"</f>
        <v>Vlastnické právo</v>
      </c>
    </row>
    <row r="302" spans="1:12" x14ac:dyDescent="0.25">
      <c r="A302" t="str">
        <f>"Darkov"</f>
        <v>Darkov</v>
      </c>
      <c r="B302" t="str">
        <f>"904/1"</f>
        <v>904/1</v>
      </c>
      <c r="C302" t="str">
        <f>"1874"</f>
        <v>1874</v>
      </c>
      <c r="D302" t="str">
        <f>"lesní pozemek"</f>
        <v>lesní pozemek</v>
      </c>
      <c r="E302" t="str">
        <f>"les jiný než hospodářský"</f>
        <v>les jiný než hospodářský</v>
      </c>
      <c r="F302" t="str">
        <f>"10001"</f>
        <v>10001</v>
      </c>
      <c r="G302" t="str">
        <f>"Statutární město Karviná"</f>
        <v>Statutární město Karviná</v>
      </c>
      <c r="H302" t="str">
        <f>"297534"</f>
        <v>297534</v>
      </c>
      <c r="I302" t="str">
        <f>"jiná právnická osoba (vč. obce a kraje)"</f>
        <v>jiná právnická osoba (vč. obce a kraje)</v>
      </c>
      <c r="J302" t="str">
        <f>"OPO"</f>
        <v>OPO</v>
      </c>
      <c r="K302" t="str">
        <f>"1"</f>
        <v>1</v>
      </c>
      <c r="L302" t="str">
        <f>"Vlastnické právo"</f>
        <v>Vlastnické právo</v>
      </c>
    </row>
    <row r="303" spans="1:12" x14ac:dyDescent="0.25">
      <c r="A303" t="str">
        <f>"Darkov"</f>
        <v>Darkov</v>
      </c>
      <c r="B303" t="str">
        <f>"904/2"</f>
        <v>904/2</v>
      </c>
      <c r="C303" t="str">
        <f>"782"</f>
        <v>782</v>
      </c>
      <c r="D303" t="str">
        <f>"lesní pozemek"</f>
        <v>lesní pozemek</v>
      </c>
      <c r="E303" t="str">
        <f>"les jiný než hospodářský"</f>
        <v>les jiný než hospodářský</v>
      </c>
      <c r="F303" t="str">
        <f>"10001"</f>
        <v>10001</v>
      </c>
      <c r="G303" t="str">
        <f>"Statutární město Karviná"</f>
        <v>Statutární město Karviná</v>
      </c>
      <c r="H303" t="str">
        <f>"297534"</f>
        <v>297534</v>
      </c>
      <c r="I303" t="str">
        <f>"jiná právnická osoba (vč. obce a kraje)"</f>
        <v>jiná právnická osoba (vč. obce a kraje)</v>
      </c>
      <c r="J303" t="str">
        <f>"OPO"</f>
        <v>OPO</v>
      </c>
      <c r="K303" t="str">
        <f>"1"</f>
        <v>1</v>
      </c>
      <c r="L303" t="str">
        <f>"Vlastnické právo"</f>
        <v>Vlastnické právo</v>
      </c>
    </row>
    <row r="304" spans="1:12" x14ac:dyDescent="0.25">
      <c r="A304" t="str">
        <f>"Darkov"</f>
        <v>Darkov</v>
      </c>
      <c r="B304" t="str">
        <f>"904/3"</f>
        <v>904/3</v>
      </c>
      <c r="C304" t="str">
        <f>"392"</f>
        <v>392</v>
      </c>
      <c r="D304" t="str">
        <f>"lesní pozemek"</f>
        <v>lesní pozemek</v>
      </c>
      <c r="E304" t="str">
        <f>"les jiný než hospodářský"</f>
        <v>les jiný než hospodářský</v>
      </c>
      <c r="F304" t="str">
        <f>"10001"</f>
        <v>10001</v>
      </c>
      <c r="G304" t="str">
        <f>"Statutární město Karviná"</f>
        <v>Statutární město Karviná</v>
      </c>
      <c r="H304" t="str">
        <f>"297534"</f>
        <v>297534</v>
      </c>
      <c r="I304" t="str">
        <f>"jiná právnická osoba (vč. obce a kraje)"</f>
        <v>jiná právnická osoba (vč. obce a kraje)</v>
      </c>
      <c r="J304" t="str">
        <f>"OPO"</f>
        <v>OPO</v>
      </c>
      <c r="K304" t="str">
        <f>"1"</f>
        <v>1</v>
      </c>
      <c r="L304" t="str">
        <f>"Vlastnické právo"</f>
        <v>Vlastnické právo</v>
      </c>
    </row>
    <row r="305" spans="1:12" x14ac:dyDescent="0.25">
      <c r="A305" t="str">
        <f>"Darkov"</f>
        <v>Darkov</v>
      </c>
      <c r="B305" t="str">
        <f>"905"</f>
        <v>905</v>
      </c>
      <c r="C305" t="str">
        <f>"2786"</f>
        <v>2786</v>
      </c>
      <c r="D305" t="str">
        <f>"lesní pozemek"</f>
        <v>lesní pozemek</v>
      </c>
      <c r="E305" t="str">
        <f>""</f>
        <v/>
      </c>
      <c r="F305" t="str">
        <f>"10001"</f>
        <v>10001</v>
      </c>
      <c r="G305" t="str">
        <f>"Statutární město Karviná"</f>
        <v>Statutární město Karviná</v>
      </c>
      <c r="H305" t="str">
        <f>"297534"</f>
        <v>297534</v>
      </c>
      <c r="I305" t="str">
        <f>"jiná právnická osoba (vč. obce a kraje)"</f>
        <v>jiná právnická osoba (vč. obce a kraje)</v>
      </c>
      <c r="J305" t="str">
        <f>"OPO"</f>
        <v>OPO</v>
      </c>
      <c r="K305" t="str">
        <f>"1"</f>
        <v>1</v>
      </c>
      <c r="L305" t="str">
        <f>"Vlastnické právo"</f>
        <v>Vlastnické právo</v>
      </c>
    </row>
    <row r="306" spans="1:12" x14ac:dyDescent="0.25">
      <c r="A306" t="str">
        <f>"Darkov"</f>
        <v>Darkov</v>
      </c>
      <c r="B306" t="str">
        <f>"906"</f>
        <v>906</v>
      </c>
      <c r="C306" t="str">
        <f>"2410"</f>
        <v>2410</v>
      </c>
      <c r="D306" t="str">
        <f>"lesní pozemek"</f>
        <v>lesní pozemek</v>
      </c>
      <c r="E306" t="str">
        <f>"les jiný než hospodářský"</f>
        <v>les jiný než hospodářský</v>
      </c>
      <c r="F306" t="str">
        <f>"10001"</f>
        <v>10001</v>
      </c>
      <c r="G306" t="str">
        <f>"Statutární město Karviná"</f>
        <v>Statutární město Karviná</v>
      </c>
      <c r="H306" t="str">
        <f>"297534"</f>
        <v>297534</v>
      </c>
      <c r="I306" t="str">
        <f>"jiná právnická osoba (vč. obce a kraje)"</f>
        <v>jiná právnická osoba (vč. obce a kraje)</v>
      </c>
      <c r="J306" t="str">
        <f>"OPO"</f>
        <v>OPO</v>
      </c>
      <c r="K306" t="str">
        <f>"1"</f>
        <v>1</v>
      </c>
      <c r="L306" t="str">
        <f>"Vlastnické právo"</f>
        <v>Vlastnické právo</v>
      </c>
    </row>
    <row r="307" spans="1:12" x14ac:dyDescent="0.25">
      <c r="A307" t="str">
        <f>"Darkov"</f>
        <v>Darkov</v>
      </c>
      <c r="B307" t="str">
        <f>"907/1"</f>
        <v>907/1</v>
      </c>
      <c r="C307" t="str">
        <f>"1250"</f>
        <v>1250</v>
      </c>
      <c r="D307" t="str">
        <f>"lesní pozemek"</f>
        <v>lesní pozemek</v>
      </c>
      <c r="E307" t="str">
        <f>"les jiný než hospodářský"</f>
        <v>les jiný než hospodářský</v>
      </c>
      <c r="F307" t="str">
        <f>"10001"</f>
        <v>10001</v>
      </c>
      <c r="G307" t="str">
        <f>"Statutární město Karviná"</f>
        <v>Statutární město Karviná</v>
      </c>
      <c r="H307" t="str">
        <f>"297534"</f>
        <v>297534</v>
      </c>
      <c r="I307" t="str">
        <f>"jiná právnická osoba (vč. obce a kraje)"</f>
        <v>jiná právnická osoba (vč. obce a kraje)</v>
      </c>
      <c r="J307" t="str">
        <f>"OPO"</f>
        <v>OPO</v>
      </c>
      <c r="K307" t="str">
        <f>"1"</f>
        <v>1</v>
      </c>
      <c r="L307" t="str">
        <f>"Vlastnické právo"</f>
        <v>Vlastnické právo</v>
      </c>
    </row>
    <row r="308" spans="1:12" x14ac:dyDescent="0.25">
      <c r="A308" t="str">
        <f>"Darkov"</f>
        <v>Darkov</v>
      </c>
      <c r="B308" t="str">
        <f>"907/2"</f>
        <v>907/2</v>
      </c>
      <c r="C308" t="str">
        <f>"548"</f>
        <v>548</v>
      </c>
      <c r="D308" t="str">
        <f>"lesní pozemek"</f>
        <v>lesní pozemek</v>
      </c>
      <c r="E308" t="str">
        <f>"les jiný než hospodářský"</f>
        <v>les jiný než hospodářský</v>
      </c>
      <c r="F308" t="str">
        <f>"10001"</f>
        <v>10001</v>
      </c>
      <c r="G308" t="str">
        <f>"Statutární město Karviná"</f>
        <v>Statutární město Karviná</v>
      </c>
      <c r="H308" t="str">
        <f>"297534"</f>
        <v>297534</v>
      </c>
      <c r="I308" t="str">
        <f>"jiná právnická osoba (vč. obce a kraje)"</f>
        <v>jiná právnická osoba (vč. obce a kraje)</v>
      </c>
      <c r="J308" t="str">
        <f>"OPO"</f>
        <v>OPO</v>
      </c>
      <c r="K308" t="str">
        <f>"1"</f>
        <v>1</v>
      </c>
      <c r="L308" t="str">
        <f>"Vlastnické právo"</f>
        <v>Vlastnické právo</v>
      </c>
    </row>
    <row r="309" spans="1:12" x14ac:dyDescent="0.25">
      <c r="A309" t="str">
        <f>"Darkov"</f>
        <v>Darkov</v>
      </c>
      <c r="B309" t="str">
        <f>"908"</f>
        <v>908</v>
      </c>
      <c r="C309" t="str">
        <f>"310"</f>
        <v>310</v>
      </c>
      <c r="D309" t="str">
        <f>"lesní pozemek"</f>
        <v>lesní pozemek</v>
      </c>
      <c r="E309" t="str">
        <f>"les jiný než hospodářský"</f>
        <v>les jiný než hospodářský</v>
      </c>
      <c r="F309" t="str">
        <f>"10001"</f>
        <v>10001</v>
      </c>
      <c r="G309" t="str">
        <f>"Statutární město Karviná"</f>
        <v>Statutární město Karviná</v>
      </c>
      <c r="H309" t="str">
        <f>"297534"</f>
        <v>297534</v>
      </c>
      <c r="I309" t="str">
        <f>"jiná právnická osoba (vč. obce a kraje)"</f>
        <v>jiná právnická osoba (vč. obce a kraje)</v>
      </c>
      <c r="J309" t="str">
        <f>"OPO"</f>
        <v>OPO</v>
      </c>
      <c r="K309" t="str">
        <f>"1"</f>
        <v>1</v>
      </c>
      <c r="L309" t="str">
        <f>"Vlastnické právo"</f>
        <v>Vlastnické právo</v>
      </c>
    </row>
    <row r="310" spans="1:12" x14ac:dyDescent="0.25">
      <c r="A310" t="str">
        <f>"Darkov"</f>
        <v>Darkov</v>
      </c>
      <c r="B310" t="str">
        <f>"909"</f>
        <v>909</v>
      </c>
      <c r="C310" t="str">
        <f>"1517"</f>
        <v>1517</v>
      </c>
      <c r="D310" t="str">
        <f>"lesní pozemek"</f>
        <v>lesní pozemek</v>
      </c>
      <c r="E310" t="str">
        <f>"les jiný než hospodářský"</f>
        <v>les jiný než hospodářský</v>
      </c>
      <c r="F310" t="str">
        <f>"10001"</f>
        <v>10001</v>
      </c>
      <c r="G310" t="str">
        <f>"Statutární město Karviná"</f>
        <v>Statutární město Karviná</v>
      </c>
      <c r="H310" t="str">
        <f>"297534"</f>
        <v>297534</v>
      </c>
      <c r="I310" t="str">
        <f>"jiná právnická osoba (vč. obce a kraje)"</f>
        <v>jiná právnická osoba (vč. obce a kraje)</v>
      </c>
      <c r="J310" t="str">
        <f>"OPO"</f>
        <v>OPO</v>
      </c>
      <c r="K310" t="str">
        <f>"1"</f>
        <v>1</v>
      </c>
      <c r="L310" t="str">
        <f>"Vlastnické právo"</f>
        <v>Vlastnické právo</v>
      </c>
    </row>
    <row r="311" spans="1:12" x14ac:dyDescent="0.25">
      <c r="A311" t="str">
        <f>"Darkov"</f>
        <v>Darkov</v>
      </c>
      <c r="B311" t="str">
        <f>"910"</f>
        <v>910</v>
      </c>
      <c r="C311" t="str">
        <f>"1791"</f>
        <v>1791</v>
      </c>
      <c r="D311" t="str">
        <f>"lesní pozemek"</f>
        <v>lesní pozemek</v>
      </c>
      <c r="E311" t="str">
        <f>"les jiný než hospodářský"</f>
        <v>les jiný než hospodářský</v>
      </c>
      <c r="F311" t="str">
        <f>"10001"</f>
        <v>10001</v>
      </c>
      <c r="G311" t="str">
        <f>"Statutární město Karviná"</f>
        <v>Statutární město Karviná</v>
      </c>
      <c r="H311" t="str">
        <f>"297534"</f>
        <v>297534</v>
      </c>
      <c r="I311" t="str">
        <f>"jiná právnická osoba (vč. obce a kraje)"</f>
        <v>jiná právnická osoba (vč. obce a kraje)</v>
      </c>
      <c r="J311" t="str">
        <f>"OPO"</f>
        <v>OPO</v>
      </c>
      <c r="K311" t="str">
        <f>"1"</f>
        <v>1</v>
      </c>
      <c r="L311" t="str">
        <f>"Vlastnické právo"</f>
        <v>Vlastnické právo</v>
      </c>
    </row>
    <row r="312" spans="1:12" x14ac:dyDescent="0.25">
      <c r="A312" t="str">
        <f>"Darkov"</f>
        <v>Darkov</v>
      </c>
      <c r="B312" t="str">
        <f>"911/1"</f>
        <v>911/1</v>
      </c>
      <c r="C312" t="str">
        <f>"1404"</f>
        <v>1404</v>
      </c>
      <c r="D312" t="str">
        <f>"lesní pozemek"</f>
        <v>lesní pozemek</v>
      </c>
      <c r="E312" t="str">
        <f>"les jiný než hospodářský"</f>
        <v>les jiný než hospodářský</v>
      </c>
      <c r="F312" t="str">
        <f>"10001"</f>
        <v>10001</v>
      </c>
      <c r="G312" t="str">
        <f>"Statutární město Karviná"</f>
        <v>Statutární město Karviná</v>
      </c>
      <c r="H312" t="str">
        <f>"297534"</f>
        <v>297534</v>
      </c>
      <c r="I312" t="str">
        <f>"jiná právnická osoba (vč. obce a kraje)"</f>
        <v>jiná právnická osoba (vč. obce a kraje)</v>
      </c>
      <c r="J312" t="str">
        <f>"OPO"</f>
        <v>OPO</v>
      </c>
      <c r="K312" t="str">
        <f>"1"</f>
        <v>1</v>
      </c>
      <c r="L312" t="str">
        <f>"Vlastnické právo"</f>
        <v>Vlastnické právo</v>
      </c>
    </row>
    <row r="313" spans="1:12" x14ac:dyDescent="0.25">
      <c r="A313" t="str">
        <f>"Darkov"</f>
        <v>Darkov</v>
      </c>
      <c r="B313" t="str">
        <f>"911/2"</f>
        <v>911/2</v>
      </c>
      <c r="C313" t="str">
        <f>"390"</f>
        <v>390</v>
      </c>
      <c r="D313" t="str">
        <f>"lesní pozemek"</f>
        <v>lesní pozemek</v>
      </c>
      <c r="E313" t="str">
        <f>"les jiný než hospodářský"</f>
        <v>les jiný než hospodářský</v>
      </c>
      <c r="F313" t="str">
        <f>"10001"</f>
        <v>10001</v>
      </c>
      <c r="G313" t="str">
        <f>"Statutární město Karviná"</f>
        <v>Statutární město Karviná</v>
      </c>
      <c r="H313" t="str">
        <f>"297534"</f>
        <v>297534</v>
      </c>
      <c r="I313" t="str">
        <f>"jiná právnická osoba (vč. obce a kraje)"</f>
        <v>jiná právnická osoba (vč. obce a kraje)</v>
      </c>
      <c r="J313" t="str">
        <f>"OPO"</f>
        <v>OPO</v>
      </c>
      <c r="K313" t="str">
        <f>"1"</f>
        <v>1</v>
      </c>
      <c r="L313" t="str">
        <f>"Vlastnické právo"</f>
        <v>Vlastnické právo</v>
      </c>
    </row>
    <row r="314" spans="1:12" x14ac:dyDescent="0.25">
      <c r="A314" t="str">
        <f>"Darkov"</f>
        <v>Darkov</v>
      </c>
      <c r="B314" t="str">
        <f>"912/1"</f>
        <v>912/1</v>
      </c>
      <c r="C314" t="str">
        <f>"1771"</f>
        <v>1771</v>
      </c>
      <c r="D314" t="str">
        <f>"lesní pozemek"</f>
        <v>lesní pozemek</v>
      </c>
      <c r="E314" t="str">
        <f>"les jiný než hospodářský"</f>
        <v>les jiný než hospodářský</v>
      </c>
      <c r="F314" t="str">
        <f>"10001"</f>
        <v>10001</v>
      </c>
      <c r="G314" t="str">
        <f>"Statutární město Karviná"</f>
        <v>Statutární město Karviná</v>
      </c>
      <c r="H314" t="str">
        <f>"297534"</f>
        <v>297534</v>
      </c>
      <c r="I314" t="str">
        <f>"jiná právnická osoba (vč. obce a kraje)"</f>
        <v>jiná právnická osoba (vč. obce a kraje)</v>
      </c>
      <c r="J314" t="str">
        <f>"OPO"</f>
        <v>OPO</v>
      </c>
      <c r="K314" t="str">
        <f>"1"</f>
        <v>1</v>
      </c>
      <c r="L314" t="str">
        <f>"Vlastnické právo"</f>
        <v>Vlastnické právo</v>
      </c>
    </row>
    <row r="315" spans="1:12" x14ac:dyDescent="0.25">
      <c r="A315" t="str">
        <f>"Darkov"</f>
        <v>Darkov</v>
      </c>
      <c r="B315" t="str">
        <f>"912/2"</f>
        <v>912/2</v>
      </c>
      <c r="C315" t="str">
        <f>"22"</f>
        <v>22</v>
      </c>
      <c r="D315" t="str">
        <f>"lesní pozemek"</f>
        <v>lesní pozemek</v>
      </c>
      <c r="E315" t="str">
        <f>"les jiný než hospodářský"</f>
        <v>les jiný než hospodářský</v>
      </c>
      <c r="F315" t="str">
        <f>"10001"</f>
        <v>10001</v>
      </c>
      <c r="G315" t="str">
        <f>"Statutární město Karviná"</f>
        <v>Statutární město Karviná</v>
      </c>
      <c r="H315" t="str">
        <f>"297534"</f>
        <v>297534</v>
      </c>
      <c r="I315" t="str">
        <f>"jiná právnická osoba (vč. obce a kraje)"</f>
        <v>jiná právnická osoba (vč. obce a kraje)</v>
      </c>
      <c r="J315" t="str">
        <f>"OPO"</f>
        <v>OPO</v>
      </c>
      <c r="K315" t="str">
        <f>"1"</f>
        <v>1</v>
      </c>
      <c r="L315" t="str">
        <f>"Vlastnické právo"</f>
        <v>Vlastnické právo</v>
      </c>
    </row>
    <row r="316" spans="1:12" x14ac:dyDescent="0.25">
      <c r="A316" t="str">
        <f>"Darkov"</f>
        <v>Darkov</v>
      </c>
      <c r="B316" t="str">
        <f>"913/1"</f>
        <v>913/1</v>
      </c>
      <c r="C316" t="str">
        <f>"1490"</f>
        <v>1490</v>
      </c>
      <c r="D316" t="str">
        <f>"lesní pozemek"</f>
        <v>lesní pozemek</v>
      </c>
      <c r="E316" t="str">
        <f>"les jiný než hospodářský"</f>
        <v>les jiný než hospodářský</v>
      </c>
      <c r="F316" t="str">
        <f>"10001"</f>
        <v>10001</v>
      </c>
      <c r="G316" t="str">
        <f>"Statutární město Karviná"</f>
        <v>Statutární město Karviná</v>
      </c>
      <c r="H316" t="str">
        <f>"297534"</f>
        <v>297534</v>
      </c>
      <c r="I316" t="str">
        <f>"jiná právnická osoba (vč. obce a kraje)"</f>
        <v>jiná právnická osoba (vč. obce a kraje)</v>
      </c>
      <c r="J316" t="str">
        <f>"OPO"</f>
        <v>OPO</v>
      </c>
      <c r="K316" t="str">
        <f>"1"</f>
        <v>1</v>
      </c>
      <c r="L316" t="str">
        <f>"Vlastnické právo"</f>
        <v>Vlastnické právo</v>
      </c>
    </row>
    <row r="317" spans="1:12" x14ac:dyDescent="0.25">
      <c r="A317" t="str">
        <f>"Darkov"</f>
        <v>Darkov</v>
      </c>
      <c r="B317" t="str">
        <f>"913/2"</f>
        <v>913/2</v>
      </c>
      <c r="C317" t="str">
        <f>"325"</f>
        <v>325</v>
      </c>
      <c r="D317" t="str">
        <f>"lesní pozemek"</f>
        <v>lesní pozemek</v>
      </c>
      <c r="E317" t="str">
        <f>"les jiný než hospodářský"</f>
        <v>les jiný než hospodářský</v>
      </c>
      <c r="F317" t="str">
        <f>"10001"</f>
        <v>10001</v>
      </c>
      <c r="G317" t="str">
        <f>"Statutární město Karviná"</f>
        <v>Statutární město Karviná</v>
      </c>
      <c r="H317" t="str">
        <f>"297534"</f>
        <v>297534</v>
      </c>
      <c r="I317" t="str">
        <f>"jiná právnická osoba (vč. obce a kraje)"</f>
        <v>jiná právnická osoba (vč. obce a kraje)</v>
      </c>
      <c r="J317" t="str">
        <f>"OPO"</f>
        <v>OPO</v>
      </c>
      <c r="K317" t="str">
        <f>"1"</f>
        <v>1</v>
      </c>
      <c r="L317" t="str">
        <f>"Vlastnické právo"</f>
        <v>Vlastnické právo</v>
      </c>
    </row>
    <row r="318" spans="1:12" x14ac:dyDescent="0.25">
      <c r="A318" t="str">
        <f>"Darkov"</f>
        <v>Darkov</v>
      </c>
      <c r="B318" t="str">
        <f>"914/1"</f>
        <v>914/1</v>
      </c>
      <c r="C318" t="str">
        <f>"1269"</f>
        <v>1269</v>
      </c>
      <c r="D318" t="str">
        <f>"lesní pozemek"</f>
        <v>lesní pozemek</v>
      </c>
      <c r="E318" t="str">
        <f>"les jiný než hospodářský"</f>
        <v>les jiný než hospodářský</v>
      </c>
      <c r="F318" t="str">
        <f>"10001"</f>
        <v>10001</v>
      </c>
      <c r="G318" t="str">
        <f>"Statutární město Karviná"</f>
        <v>Statutární město Karviná</v>
      </c>
      <c r="H318" t="str">
        <f>"297534"</f>
        <v>297534</v>
      </c>
      <c r="I318" t="str">
        <f>"jiná právnická osoba (vč. obce a kraje)"</f>
        <v>jiná právnická osoba (vč. obce a kraje)</v>
      </c>
      <c r="J318" t="str">
        <f>"OPO"</f>
        <v>OPO</v>
      </c>
      <c r="K318" t="str">
        <f>"1"</f>
        <v>1</v>
      </c>
      <c r="L318" t="str">
        <f>"Vlastnické právo"</f>
        <v>Vlastnické právo</v>
      </c>
    </row>
    <row r="319" spans="1:12" x14ac:dyDescent="0.25">
      <c r="A319" t="str">
        <f>"Darkov"</f>
        <v>Darkov</v>
      </c>
      <c r="B319" t="str">
        <f>"914/2"</f>
        <v>914/2</v>
      </c>
      <c r="C319" t="str">
        <f>"533"</f>
        <v>533</v>
      </c>
      <c r="D319" t="str">
        <f>"lesní pozemek"</f>
        <v>lesní pozemek</v>
      </c>
      <c r="E319" t="str">
        <f>"les jiný než hospodářský"</f>
        <v>les jiný než hospodářský</v>
      </c>
      <c r="F319" t="str">
        <f>"10001"</f>
        <v>10001</v>
      </c>
      <c r="G319" t="str">
        <f>"Statutární město Karviná"</f>
        <v>Statutární město Karviná</v>
      </c>
      <c r="H319" t="str">
        <f>"297534"</f>
        <v>297534</v>
      </c>
      <c r="I319" t="str">
        <f>"jiná právnická osoba (vč. obce a kraje)"</f>
        <v>jiná právnická osoba (vč. obce a kraje)</v>
      </c>
      <c r="J319" t="str">
        <f>"OPO"</f>
        <v>OPO</v>
      </c>
      <c r="K319" t="str">
        <f>"1"</f>
        <v>1</v>
      </c>
      <c r="L319" t="str">
        <f>"Vlastnické právo"</f>
        <v>Vlastnické právo</v>
      </c>
    </row>
    <row r="320" spans="1:12" x14ac:dyDescent="0.25">
      <c r="A320" t="str">
        <f>"Darkov"</f>
        <v>Darkov</v>
      </c>
      <c r="B320" t="str">
        <f>"915/1"</f>
        <v>915/1</v>
      </c>
      <c r="C320" t="str">
        <f>"1495"</f>
        <v>1495</v>
      </c>
      <c r="D320" t="str">
        <f>"lesní pozemek"</f>
        <v>lesní pozemek</v>
      </c>
      <c r="E320" t="str">
        <f>"les jiný než hospodářský"</f>
        <v>les jiný než hospodářský</v>
      </c>
      <c r="F320" t="str">
        <f>"10001"</f>
        <v>10001</v>
      </c>
      <c r="G320" t="str">
        <f>"Statutární město Karviná"</f>
        <v>Statutární město Karviná</v>
      </c>
      <c r="H320" t="str">
        <f>"297534"</f>
        <v>297534</v>
      </c>
      <c r="I320" t="str">
        <f>"jiná právnická osoba (vč. obce a kraje)"</f>
        <v>jiná právnická osoba (vč. obce a kraje)</v>
      </c>
      <c r="J320" t="str">
        <f>"OPO"</f>
        <v>OPO</v>
      </c>
      <c r="K320" t="str">
        <f>"1"</f>
        <v>1</v>
      </c>
      <c r="L320" t="str">
        <f>"Vlastnické právo"</f>
        <v>Vlastnické právo</v>
      </c>
    </row>
    <row r="321" spans="1:12" x14ac:dyDescent="0.25">
      <c r="A321" t="str">
        <f>"Darkov"</f>
        <v>Darkov</v>
      </c>
      <c r="B321" t="str">
        <f>"915/2"</f>
        <v>915/2</v>
      </c>
      <c r="C321" t="str">
        <f>"313"</f>
        <v>313</v>
      </c>
      <c r="D321" t="str">
        <f>"lesní pozemek"</f>
        <v>lesní pozemek</v>
      </c>
      <c r="E321" t="str">
        <f>"les jiný než hospodářský"</f>
        <v>les jiný než hospodářský</v>
      </c>
      <c r="F321" t="str">
        <f>"10001"</f>
        <v>10001</v>
      </c>
      <c r="G321" t="str">
        <f>"Statutární město Karviná"</f>
        <v>Statutární město Karviná</v>
      </c>
      <c r="H321" t="str">
        <f>"297534"</f>
        <v>297534</v>
      </c>
      <c r="I321" t="str">
        <f>"jiná právnická osoba (vč. obce a kraje)"</f>
        <v>jiná právnická osoba (vč. obce a kraje)</v>
      </c>
      <c r="J321" t="str">
        <f>"OPO"</f>
        <v>OPO</v>
      </c>
      <c r="K321" t="str">
        <f>"1"</f>
        <v>1</v>
      </c>
      <c r="L321" t="str">
        <f>"Vlastnické právo"</f>
        <v>Vlastnické právo</v>
      </c>
    </row>
    <row r="322" spans="1:12" x14ac:dyDescent="0.25">
      <c r="A322" t="str">
        <f>"Darkov"</f>
        <v>Darkov</v>
      </c>
      <c r="B322" t="str">
        <f>"924"</f>
        <v>924</v>
      </c>
      <c r="C322" t="str">
        <f>"5163"</f>
        <v>5163</v>
      </c>
      <c r="D322" t="str">
        <f>"lesní pozemek"</f>
        <v>lesní pozemek</v>
      </c>
      <c r="E322" t="str">
        <f>"les jiný než hospodářský"</f>
        <v>les jiný než hospodářský</v>
      </c>
      <c r="F322" t="str">
        <f>"10001"</f>
        <v>10001</v>
      </c>
      <c r="G322" t="str">
        <f>"Statutární město Karviná"</f>
        <v>Statutární město Karviná</v>
      </c>
      <c r="H322" t="str">
        <f>"297534"</f>
        <v>297534</v>
      </c>
      <c r="I322" t="str">
        <f>"jiná právnická osoba (vč. obce a kraje)"</f>
        <v>jiná právnická osoba (vč. obce a kraje)</v>
      </c>
      <c r="J322" t="str">
        <f>"OPO"</f>
        <v>OPO</v>
      </c>
      <c r="K322" t="str">
        <f>"1"</f>
        <v>1</v>
      </c>
      <c r="L322" t="str">
        <f>"Vlastnické právo"</f>
        <v>Vlastnické právo</v>
      </c>
    </row>
    <row r="323" spans="1:12" x14ac:dyDescent="0.25">
      <c r="A323" t="str">
        <f>"Darkov"</f>
        <v>Darkov</v>
      </c>
      <c r="B323" t="str">
        <f>"925"</f>
        <v>925</v>
      </c>
      <c r="C323" t="str">
        <f>"1792"</f>
        <v>1792</v>
      </c>
      <c r="D323" t="str">
        <f>"lesní pozemek"</f>
        <v>lesní pozemek</v>
      </c>
      <c r="E323" t="str">
        <f>"les jiný než hospodářský"</f>
        <v>les jiný než hospodářský</v>
      </c>
      <c r="F323" t="str">
        <f>"10001"</f>
        <v>10001</v>
      </c>
      <c r="G323" t="str">
        <f>"Statutární město Karviná"</f>
        <v>Statutární město Karviná</v>
      </c>
      <c r="H323" t="str">
        <f>"297534"</f>
        <v>297534</v>
      </c>
      <c r="I323" t="str">
        <f>"jiná právnická osoba (vč. obce a kraje)"</f>
        <v>jiná právnická osoba (vč. obce a kraje)</v>
      </c>
      <c r="J323" t="str">
        <f>"OPO"</f>
        <v>OPO</v>
      </c>
      <c r="K323" t="str">
        <f>"1"</f>
        <v>1</v>
      </c>
      <c r="L323" t="str">
        <f>"Vlastnické právo"</f>
        <v>Vlastnické právo</v>
      </c>
    </row>
    <row r="324" spans="1:12" x14ac:dyDescent="0.25">
      <c r="A324" t="str">
        <f>"Darkov"</f>
        <v>Darkov</v>
      </c>
      <c r="B324" t="str">
        <f>"926/1"</f>
        <v>926/1</v>
      </c>
      <c r="C324" t="str">
        <f>"1540"</f>
        <v>1540</v>
      </c>
      <c r="D324" t="str">
        <f>"lesní pozemek"</f>
        <v>lesní pozemek</v>
      </c>
      <c r="E324" t="str">
        <f>"les jiný než hospodářský"</f>
        <v>les jiný než hospodářský</v>
      </c>
      <c r="F324" t="str">
        <f>"10001"</f>
        <v>10001</v>
      </c>
      <c r="G324" t="str">
        <f>"Statutární město Karviná"</f>
        <v>Statutární město Karviná</v>
      </c>
      <c r="H324" t="str">
        <f>"297534"</f>
        <v>297534</v>
      </c>
      <c r="I324" t="str">
        <f>"jiná právnická osoba (vč. obce a kraje)"</f>
        <v>jiná právnická osoba (vč. obce a kraje)</v>
      </c>
      <c r="J324" t="str">
        <f>"OPO"</f>
        <v>OPO</v>
      </c>
      <c r="K324" t="str">
        <f>"1"</f>
        <v>1</v>
      </c>
      <c r="L324" t="str">
        <f>"Vlastnické právo"</f>
        <v>Vlastnické právo</v>
      </c>
    </row>
    <row r="325" spans="1:12" x14ac:dyDescent="0.25">
      <c r="A325" t="str">
        <f>"Darkov"</f>
        <v>Darkov</v>
      </c>
      <c r="B325" t="str">
        <f>"926/2"</f>
        <v>926/2</v>
      </c>
      <c r="C325" t="str">
        <f>"277"</f>
        <v>277</v>
      </c>
      <c r="D325" t="str">
        <f>"lesní pozemek"</f>
        <v>lesní pozemek</v>
      </c>
      <c r="E325" t="str">
        <f>"les jiný než hospodářský"</f>
        <v>les jiný než hospodářský</v>
      </c>
      <c r="F325" t="str">
        <f>"10001"</f>
        <v>10001</v>
      </c>
      <c r="G325" t="str">
        <f>"Statutární město Karviná"</f>
        <v>Statutární město Karviná</v>
      </c>
      <c r="H325" t="str">
        <f>"297534"</f>
        <v>297534</v>
      </c>
      <c r="I325" t="str">
        <f>"jiná právnická osoba (vč. obce a kraje)"</f>
        <v>jiná právnická osoba (vč. obce a kraje)</v>
      </c>
      <c r="J325" t="str">
        <f>"OPO"</f>
        <v>OPO</v>
      </c>
      <c r="K325" t="str">
        <f>"1"</f>
        <v>1</v>
      </c>
      <c r="L325" t="str">
        <f>"Vlastnické právo"</f>
        <v>Vlastnické právo</v>
      </c>
    </row>
    <row r="326" spans="1:12" x14ac:dyDescent="0.25">
      <c r="A326" t="str">
        <f>"Darkov"</f>
        <v>Darkov</v>
      </c>
      <c r="B326" t="str">
        <f>"927"</f>
        <v>927</v>
      </c>
      <c r="C326" t="str">
        <f>"1790"</f>
        <v>1790</v>
      </c>
      <c r="D326" t="str">
        <f>"lesní pozemek"</f>
        <v>lesní pozemek</v>
      </c>
      <c r="E326" t="str">
        <f>"les jiný než hospodářský"</f>
        <v>les jiný než hospodářský</v>
      </c>
      <c r="F326" t="str">
        <f>"10001"</f>
        <v>10001</v>
      </c>
      <c r="G326" t="str">
        <f>"Statutární město Karviná"</f>
        <v>Statutární město Karviná</v>
      </c>
      <c r="H326" t="str">
        <f>"297534"</f>
        <v>297534</v>
      </c>
      <c r="I326" t="str">
        <f>"jiná právnická osoba (vč. obce a kraje)"</f>
        <v>jiná právnická osoba (vč. obce a kraje)</v>
      </c>
      <c r="J326" t="str">
        <f>"OPO"</f>
        <v>OPO</v>
      </c>
      <c r="K326" t="str">
        <f>"1"</f>
        <v>1</v>
      </c>
      <c r="L326" t="str">
        <f>"Vlastnické právo"</f>
        <v>Vlastnické právo</v>
      </c>
    </row>
    <row r="327" spans="1:12" x14ac:dyDescent="0.25">
      <c r="A327" t="str">
        <f>"Darkov"</f>
        <v>Darkov</v>
      </c>
      <c r="B327" t="str">
        <f>"928"</f>
        <v>928</v>
      </c>
      <c r="C327" t="str">
        <f>"1796"</f>
        <v>1796</v>
      </c>
      <c r="D327" t="str">
        <f>"lesní pozemek"</f>
        <v>lesní pozemek</v>
      </c>
      <c r="E327" t="str">
        <f>"les jiný než hospodářský"</f>
        <v>les jiný než hospodářský</v>
      </c>
      <c r="F327" t="str">
        <f>"10001"</f>
        <v>10001</v>
      </c>
      <c r="G327" t="str">
        <f>"Statutární město Karviná"</f>
        <v>Statutární město Karviná</v>
      </c>
      <c r="H327" t="str">
        <f>"297534"</f>
        <v>297534</v>
      </c>
      <c r="I327" t="str">
        <f>"jiná právnická osoba (vč. obce a kraje)"</f>
        <v>jiná právnická osoba (vč. obce a kraje)</v>
      </c>
      <c r="J327" t="str">
        <f>"OPO"</f>
        <v>OPO</v>
      </c>
      <c r="K327" t="str">
        <f>"1"</f>
        <v>1</v>
      </c>
      <c r="L327" t="str">
        <f>"Vlastnické právo"</f>
        <v>Vlastnické právo</v>
      </c>
    </row>
    <row r="328" spans="1:12" x14ac:dyDescent="0.25">
      <c r="A328" t="str">
        <f>"Darkov"</f>
        <v>Darkov</v>
      </c>
      <c r="B328" t="str">
        <f>"929/1"</f>
        <v>929/1</v>
      </c>
      <c r="C328" t="str">
        <f>"2338"</f>
        <v>2338</v>
      </c>
      <c r="D328" t="str">
        <f>"lesní pozemek"</f>
        <v>lesní pozemek</v>
      </c>
      <c r="E328" t="str">
        <f>"les jiný než hospodářský"</f>
        <v>les jiný než hospodářský</v>
      </c>
      <c r="F328" t="str">
        <f>"10001"</f>
        <v>10001</v>
      </c>
      <c r="G328" t="str">
        <f>"Statutární město Karviná"</f>
        <v>Statutární město Karviná</v>
      </c>
      <c r="H328" t="str">
        <f>"297534"</f>
        <v>297534</v>
      </c>
      <c r="I328" t="str">
        <f>"jiná právnická osoba (vč. obce a kraje)"</f>
        <v>jiná právnická osoba (vč. obce a kraje)</v>
      </c>
      <c r="J328" t="str">
        <f>"OPO"</f>
        <v>OPO</v>
      </c>
      <c r="K328" t="str">
        <f>"1"</f>
        <v>1</v>
      </c>
      <c r="L328" t="str">
        <f>"Vlastnické právo"</f>
        <v>Vlastnické právo</v>
      </c>
    </row>
    <row r="329" spans="1:12" x14ac:dyDescent="0.25">
      <c r="A329" t="str">
        <f>"Darkov"</f>
        <v>Darkov</v>
      </c>
      <c r="B329" t="str">
        <f>"929/2"</f>
        <v>929/2</v>
      </c>
      <c r="C329" t="str">
        <f>"21"</f>
        <v>21</v>
      </c>
      <c r="D329" t="str">
        <f>"lesní pozemek"</f>
        <v>lesní pozemek</v>
      </c>
      <c r="E329" t="str">
        <f>"les jiný než hospodářský"</f>
        <v>les jiný než hospodářský</v>
      </c>
      <c r="F329" t="str">
        <f>"10001"</f>
        <v>10001</v>
      </c>
      <c r="G329" t="str">
        <f>"Statutární město Karviná"</f>
        <v>Statutární město Karviná</v>
      </c>
      <c r="H329" t="str">
        <f>"297534"</f>
        <v>297534</v>
      </c>
      <c r="I329" t="str">
        <f>"jiná právnická osoba (vč. obce a kraje)"</f>
        <v>jiná právnická osoba (vč. obce a kraje)</v>
      </c>
      <c r="J329" t="str">
        <f>"OPO"</f>
        <v>OPO</v>
      </c>
      <c r="K329" t="str">
        <f>"1"</f>
        <v>1</v>
      </c>
      <c r="L329" t="str">
        <f>"Vlastnické právo"</f>
        <v>Vlastnické právo</v>
      </c>
    </row>
    <row r="330" spans="1:12" x14ac:dyDescent="0.25">
      <c r="A330" t="str">
        <f>"Darkov"</f>
        <v>Darkov</v>
      </c>
      <c r="B330" t="str">
        <f>"932/1"</f>
        <v>932/1</v>
      </c>
      <c r="C330" t="str">
        <f>"2395"</f>
        <v>2395</v>
      </c>
      <c r="D330" t="str">
        <f>"lesní pozemek"</f>
        <v>lesní pozemek</v>
      </c>
      <c r="E330" t="str">
        <f>"les jiný než hospodářský"</f>
        <v>les jiný než hospodářský</v>
      </c>
      <c r="F330" t="str">
        <f>"10001"</f>
        <v>10001</v>
      </c>
      <c r="G330" t="str">
        <f>"Statutární město Karviná"</f>
        <v>Statutární město Karviná</v>
      </c>
      <c r="H330" t="str">
        <f>"297534"</f>
        <v>297534</v>
      </c>
      <c r="I330" t="str">
        <f>"jiná právnická osoba (vč. obce a kraje)"</f>
        <v>jiná právnická osoba (vč. obce a kraje)</v>
      </c>
      <c r="J330" t="str">
        <f>"OPO"</f>
        <v>OPO</v>
      </c>
      <c r="K330" t="str">
        <f>"1"</f>
        <v>1</v>
      </c>
      <c r="L330" t="str">
        <f>"Vlastnické právo"</f>
        <v>Vlastnické právo</v>
      </c>
    </row>
    <row r="331" spans="1:12" x14ac:dyDescent="0.25">
      <c r="A331" t="str">
        <f>"Darkov"</f>
        <v>Darkov</v>
      </c>
      <c r="B331" t="str">
        <f>"932/2"</f>
        <v>932/2</v>
      </c>
      <c r="C331" t="str">
        <f>"81"</f>
        <v>81</v>
      </c>
      <c r="D331" t="str">
        <f>"lesní pozemek"</f>
        <v>lesní pozemek</v>
      </c>
      <c r="E331" t="str">
        <f>"les jiný než hospodářský"</f>
        <v>les jiný než hospodářský</v>
      </c>
      <c r="F331" t="str">
        <f>"10001"</f>
        <v>10001</v>
      </c>
      <c r="G331" t="str">
        <f>"Statutární město Karviná"</f>
        <v>Statutární město Karviná</v>
      </c>
      <c r="H331" t="str">
        <f>"297534"</f>
        <v>297534</v>
      </c>
      <c r="I331" t="str">
        <f>"jiná právnická osoba (vč. obce a kraje)"</f>
        <v>jiná právnická osoba (vč. obce a kraje)</v>
      </c>
      <c r="J331" t="str">
        <f>"OPO"</f>
        <v>OPO</v>
      </c>
      <c r="K331" t="str">
        <f>"1"</f>
        <v>1</v>
      </c>
      <c r="L331" t="str">
        <f>"Vlastnické právo"</f>
        <v>Vlastnické právo</v>
      </c>
    </row>
    <row r="332" spans="1:12" x14ac:dyDescent="0.25">
      <c r="A332" t="str">
        <f>"Darkov"</f>
        <v>Darkov</v>
      </c>
      <c r="B332" t="str">
        <f>"933/1"</f>
        <v>933/1</v>
      </c>
      <c r="C332" t="str">
        <f>"1532"</f>
        <v>1532</v>
      </c>
      <c r="D332" t="str">
        <f>"lesní pozemek"</f>
        <v>lesní pozemek</v>
      </c>
      <c r="E332" t="str">
        <f>"les jiný než hospodářský"</f>
        <v>les jiný než hospodářský</v>
      </c>
      <c r="F332" t="str">
        <f>"10001"</f>
        <v>10001</v>
      </c>
      <c r="G332" t="str">
        <f>"Statutární město Karviná"</f>
        <v>Statutární město Karviná</v>
      </c>
      <c r="H332" t="str">
        <f>"297534"</f>
        <v>297534</v>
      </c>
      <c r="I332" t="str">
        <f>"jiná právnická osoba (vč. obce a kraje)"</f>
        <v>jiná právnická osoba (vč. obce a kraje)</v>
      </c>
      <c r="J332" t="str">
        <f>"OPO"</f>
        <v>OPO</v>
      </c>
      <c r="K332" t="str">
        <f>"1"</f>
        <v>1</v>
      </c>
      <c r="L332" t="str">
        <f>"Vlastnické právo"</f>
        <v>Vlastnické právo</v>
      </c>
    </row>
    <row r="333" spans="1:12" x14ac:dyDescent="0.25">
      <c r="A333" t="str">
        <f>"Darkov"</f>
        <v>Darkov</v>
      </c>
      <c r="B333" t="str">
        <f>"933/2"</f>
        <v>933/2</v>
      </c>
      <c r="C333" t="str">
        <f>"259"</f>
        <v>259</v>
      </c>
      <c r="D333" t="str">
        <f>"lesní pozemek"</f>
        <v>lesní pozemek</v>
      </c>
      <c r="E333" t="str">
        <f>"les jiný než hospodářský"</f>
        <v>les jiný než hospodářský</v>
      </c>
      <c r="F333" t="str">
        <f>"10001"</f>
        <v>10001</v>
      </c>
      <c r="G333" t="str">
        <f>"Statutární město Karviná"</f>
        <v>Statutární město Karviná</v>
      </c>
      <c r="H333" t="str">
        <f>"297534"</f>
        <v>297534</v>
      </c>
      <c r="I333" t="str">
        <f>"jiná právnická osoba (vč. obce a kraje)"</f>
        <v>jiná právnická osoba (vč. obce a kraje)</v>
      </c>
      <c r="J333" t="str">
        <f>"OPO"</f>
        <v>OPO</v>
      </c>
      <c r="K333" t="str">
        <f>"1"</f>
        <v>1</v>
      </c>
      <c r="L333" t="str">
        <f>"Vlastnické právo"</f>
        <v>Vlastnické právo</v>
      </c>
    </row>
    <row r="334" spans="1:12" x14ac:dyDescent="0.25">
      <c r="A334" t="str">
        <f>"Darkov"</f>
        <v>Darkov</v>
      </c>
      <c r="B334" t="str">
        <f>"934"</f>
        <v>934</v>
      </c>
      <c r="C334" t="str">
        <f>"1795"</f>
        <v>1795</v>
      </c>
      <c r="D334" t="str">
        <f>"lesní pozemek"</f>
        <v>lesní pozemek</v>
      </c>
      <c r="E334" t="str">
        <f>"les jiný než hospodářský"</f>
        <v>les jiný než hospodářský</v>
      </c>
      <c r="F334" t="str">
        <f>"10001"</f>
        <v>10001</v>
      </c>
      <c r="G334" t="str">
        <f>"Statutární město Karviná"</f>
        <v>Statutární město Karviná</v>
      </c>
      <c r="H334" t="str">
        <f>"297534"</f>
        <v>297534</v>
      </c>
      <c r="I334" t="str">
        <f>"jiná právnická osoba (vč. obce a kraje)"</f>
        <v>jiná právnická osoba (vč. obce a kraje)</v>
      </c>
      <c r="J334" t="str">
        <f>"OPO"</f>
        <v>OPO</v>
      </c>
      <c r="K334" t="str">
        <f>"1"</f>
        <v>1</v>
      </c>
      <c r="L334" t="str">
        <f>"Vlastnické právo"</f>
        <v>Vlastnické právo</v>
      </c>
    </row>
    <row r="335" spans="1:12" x14ac:dyDescent="0.25">
      <c r="A335" t="str">
        <f>"Darkov"</f>
        <v>Darkov</v>
      </c>
      <c r="B335" t="str">
        <f>"935/1"</f>
        <v>935/1</v>
      </c>
      <c r="C335" t="str">
        <f>"1555"</f>
        <v>1555</v>
      </c>
      <c r="D335" t="str">
        <f>"lesní pozemek"</f>
        <v>lesní pozemek</v>
      </c>
      <c r="E335" t="str">
        <f>""</f>
        <v/>
      </c>
      <c r="F335" t="str">
        <f>"10001"</f>
        <v>10001</v>
      </c>
      <c r="G335" t="str">
        <f>"Statutární město Karviná"</f>
        <v>Statutární město Karviná</v>
      </c>
      <c r="H335" t="str">
        <f>"297534"</f>
        <v>297534</v>
      </c>
      <c r="I335" t="str">
        <f>"jiná právnická osoba (vč. obce a kraje)"</f>
        <v>jiná právnická osoba (vč. obce a kraje)</v>
      </c>
      <c r="J335" t="str">
        <f>"OPO"</f>
        <v>OPO</v>
      </c>
      <c r="K335" t="str">
        <f>"1"</f>
        <v>1</v>
      </c>
      <c r="L335" t="str">
        <f>"Vlastnické právo"</f>
        <v>Vlastnické právo</v>
      </c>
    </row>
    <row r="336" spans="1:12" x14ac:dyDescent="0.25">
      <c r="A336" t="str">
        <f>"Darkov"</f>
        <v>Darkov</v>
      </c>
      <c r="B336" t="str">
        <f>"936/1"</f>
        <v>936/1</v>
      </c>
      <c r="C336" t="str">
        <f>"2907"</f>
        <v>2907</v>
      </c>
      <c r="D336" t="str">
        <f>"lesní pozemek"</f>
        <v>lesní pozemek</v>
      </c>
      <c r="E336" t="str">
        <f>"les jiný než hospodářský"</f>
        <v>les jiný než hospodářský</v>
      </c>
      <c r="F336" t="str">
        <f>"10001"</f>
        <v>10001</v>
      </c>
      <c r="G336" t="str">
        <f>"Statutární město Karviná"</f>
        <v>Statutární město Karviná</v>
      </c>
      <c r="H336" t="str">
        <f>"297534"</f>
        <v>297534</v>
      </c>
      <c r="I336" t="str">
        <f>"jiná právnická osoba (vč. obce a kraje)"</f>
        <v>jiná právnická osoba (vč. obce a kraje)</v>
      </c>
      <c r="J336" t="str">
        <f>"OPO"</f>
        <v>OPO</v>
      </c>
      <c r="K336" t="str">
        <f>"1"</f>
        <v>1</v>
      </c>
      <c r="L336" t="str">
        <f>"Vlastnické právo"</f>
        <v>Vlastnické právo</v>
      </c>
    </row>
    <row r="337" spans="1:12" x14ac:dyDescent="0.25">
      <c r="A337" t="str">
        <f>"Darkov"</f>
        <v>Darkov</v>
      </c>
      <c r="B337" t="str">
        <f>"936/2"</f>
        <v>936/2</v>
      </c>
      <c r="C337" t="str">
        <f>"340"</f>
        <v>340</v>
      </c>
      <c r="D337" t="str">
        <f>"lesní pozemek"</f>
        <v>lesní pozemek</v>
      </c>
      <c r="E337" t="str">
        <f>"les jiný než hospodářský"</f>
        <v>les jiný než hospodářský</v>
      </c>
      <c r="F337" t="str">
        <f>"10001"</f>
        <v>10001</v>
      </c>
      <c r="G337" t="str">
        <f>"Statutární město Karviná"</f>
        <v>Statutární město Karviná</v>
      </c>
      <c r="H337" t="str">
        <f>"297534"</f>
        <v>297534</v>
      </c>
      <c r="I337" t="str">
        <f>"jiná právnická osoba (vč. obce a kraje)"</f>
        <v>jiná právnická osoba (vč. obce a kraje)</v>
      </c>
      <c r="J337" t="str">
        <f>"OPO"</f>
        <v>OPO</v>
      </c>
      <c r="K337" t="str">
        <f>"1"</f>
        <v>1</v>
      </c>
      <c r="L337" t="str">
        <f>"Vlastnické právo"</f>
        <v>Vlastnické právo</v>
      </c>
    </row>
    <row r="338" spans="1:12" x14ac:dyDescent="0.25">
      <c r="A338" t="str">
        <f>"Darkov"</f>
        <v>Darkov</v>
      </c>
      <c r="B338" t="str">
        <f>"945/6"</f>
        <v>945/6</v>
      </c>
      <c r="C338" t="str">
        <f>"518"</f>
        <v>518</v>
      </c>
      <c r="D338" t="str">
        <f>"lesní pozemek"</f>
        <v>lesní pozemek</v>
      </c>
      <c r="E338" t="str">
        <f>"les jiný než hospodářský"</f>
        <v>les jiný než hospodářský</v>
      </c>
      <c r="F338" t="str">
        <f>"10001"</f>
        <v>10001</v>
      </c>
      <c r="G338" t="str">
        <f>"Statutární město Karviná"</f>
        <v>Statutární město Karviná</v>
      </c>
      <c r="H338" t="str">
        <f>"297534"</f>
        <v>297534</v>
      </c>
      <c r="I338" t="str">
        <f>"jiná právnická osoba (vč. obce a kraje)"</f>
        <v>jiná právnická osoba (vč. obce a kraje)</v>
      </c>
      <c r="J338" t="str">
        <f>"OPO"</f>
        <v>OPO</v>
      </c>
      <c r="K338" t="str">
        <f>"1"</f>
        <v>1</v>
      </c>
      <c r="L338" t="str">
        <f>"Vlastnické právo"</f>
        <v>Vlastnické právo</v>
      </c>
    </row>
    <row r="339" spans="1:12" x14ac:dyDescent="0.25">
      <c r="A339" t="str">
        <f>"Darkov"</f>
        <v>Darkov</v>
      </c>
      <c r="B339" t="str">
        <f>"945/7"</f>
        <v>945/7</v>
      </c>
      <c r="C339" t="str">
        <f>"806"</f>
        <v>806</v>
      </c>
      <c r="D339" t="str">
        <f>"lesní pozemek"</f>
        <v>lesní pozemek</v>
      </c>
      <c r="E339" t="str">
        <f>"les jiný než hospodářský"</f>
        <v>les jiný než hospodářský</v>
      </c>
      <c r="F339" t="str">
        <f>"10001"</f>
        <v>10001</v>
      </c>
      <c r="G339" t="str">
        <f>"Statutární město Karviná"</f>
        <v>Statutární město Karviná</v>
      </c>
      <c r="H339" t="str">
        <f>"297534"</f>
        <v>297534</v>
      </c>
      <c r="I339" t="str">
        <f>"jiná právnická osoba (vč. obce a kraje)"</f>
        <v>jiná právnická osoba (vč. obce a kraje)</v>
      </c>
      <c r="J339" t="str">
        <f>"OPO"</f>
        <v>OPO</v>
      </c>
      <c r="K339" t="str">
        <f>"1"</f>
        <v>1</v>
      </c>
      <c r="L339" t="str">
        <f>"Vlastnické právo"</f>
        <v>Vlastnické právo</v>
      </c>
    </row>
    <row r="340" spans="1:12" x14ac:dyDescent="0.25">
      <c r="A340" t="str">
        <f>"Darkov"</f>
        <v>Darkov</v>
      </c>
      <c r="B340" t="str">
        <f>"945/8"</f>
        <v>945/8</v>
      </c>
      <c r="C340" t="str">
        <f>"835"</f>
        <v>835</v>
      </c>
      <c r="D340" t="str">
        <f>"lesní pozemek"</f>
        <v>lesní pozemek</v>
      </c>
      <c r="E340" t="str">
        <f>"les jiný než hospodářský"</f>
        <v>les jiný než hospodářský</v>
      </c>
      <c r="F340" t="str">
        <f>"10001"</f>
        <v>10001</v>
      </c>
      <c r="G340" t="str">
        <f>"Statutární město Karviná"</f>
        <v>Statutární město Karviná</v>
      </c>
      <c r="H340" t="str">
        <f>"297534"</f>
        <v>297534</v>
      </c>
      <c r="I340" t="str">
        <f>"jiná právnická osoba (vč. obce a kraje)"</f>
        <v>jiná právnická osoba (vč. obce a kraje)</v>
      </c>
      <c r="J340" t="str">
        <f>"OPO"</f>
        <v>OPO</v>
      </c>
      <c r="K340" t="str">
        <f>"1"</f>
        <v>1</v>
      </c>
      <c r="L340" t="str">
        <f>"Vlastnické právo"</f>
        <v>Vlastnické právo</v>
      </c>
    </row>
    <row r="341" spans="1:12" x14ac:dyDescent="0.25">
      <c r="A341" t="str">
        <f>"Darkov"</f>
        <v>Darkov</v>
      </c>
      <c r="B341" t="str">
        <f>"945/9"</f>
        <v>945/9</v>
      </c>
      <c r="C341" t="str">
        <f>"2880"</f>
        <v>2880</v>
      </c>
      <c r="D341" t="str">
        <f>"lesní pozemek"</f>
        <v>lesní pozemek</v>
      </c>
      <c r="E341" t="str">
        <f>"les jiný než hospodářský"</f>
        <v>les jiný než hospodářský</v>
      </c>
      <c r="F341" t="str">
        <f>"10001"</f>
        <v>10001</v>
      </c>
      <c r="G341" t="str">
        <f>"Statutární město Karviná"</f>
        <v>Statutární město Karviná</v>
      </c>
      <c r="H341" t="str">
        <f>"297534"</f>
        <v>297534</v>
      </c>
      <c r="I341" t="str">
        <f>"jiná právnická osoba (vč. obce a kraje)"</f>
        <v>jiná právnická osoba (vč. obce a kraje)</v>
      </c>
      <c r="J341" t="str">
        <f>"OPO"</f>
        <v>OPO</v>
      </c>
      <c r="K341" t="str">
        <f>"1"</f>
        <v>1</v>
      </c>
      <c r="L341" t="str">
        <f>"Vlastnické právo"</f>
        <v>Vlastnické právo</v>
      </c>
    </row>
    <row r="342" spans="1:12" x14ac:dyDescent="0.25">
      <c r="A342" t="str">
        <f>"Darkov"</f>
        <v>Darkov</v>
      </c>
      <c r="B342" t="str">
        <f>"945/13"</f>
        <v>945/13</v>
      </c>
      <c r="C342" t="str">
        <f>"637"</f>
        <v>637</v>
      </c>
      <c r="D342" t="str">
        <f>"lesní pozemek"</f>
        <v>lesní pozemek</v>
      </c>
      <c r="E342" t="str">
        <f>"les jiný než hospodářský"</f>
        <v>les jiný než hospodářský</v>
      </c>
      <c r="F342" t="str">
        <f>"10001"</f>
        <v>10001</v>
      </c>
      <c r="G342" t="str">
        <f>"Statutární město Karviná"</f>
        <v>Statutární město Karviná</v>
      </c>
      <c r="H342" t="str">
        <f>"297534"</f>
        <v>297534</v>
      </c>
      <c r="I342" t="str">
        <f>"jiná právnická osoba (vč. obce a kraje)"</f>
        <v>jiná právnická osoba (vč. obce a kraje)</v>
      </c>
      <c r="J342" t="str">
        <f>"OPO"</f>
        <v>OPO</v>
      </c>
      <c r="K342" t="str">
        <f>"1"</f>
        <v>1</v>
      </c>
      <c r="L342" t="str">
        <f>"Vlastnické právo"</f>
        <v>Vlastnické právo</v>
      </c>
    </row>
    <row r="343" spans="1:12" x14ac:dyDescent="0.25">
      <c r="A343" t="str">
        <f>"Darkov"</f>
        <v>Darkov</v>
      </c>
      <c r="B343" t="str">
        <f>"945/23"</f>
        <v>945/23</v>
      </c>
      <c r="C343" t="str">
        <f>"214"</f>
        <v>214</v>
      </c>
      <c r="D343" t="str">
        <f>"lesní pozemek"</f>
        <v>lesní pozemek</v>
      </c>
      <c r="E343" t="str">
        <f>"les jiný než hospodářský"</f>
        <v>les jiný než hospodářský</v>
      </c>
      <c r="F343" t="str">
        <f>"10001"</f>
        <v>10001</v>
      </c>
      <c r="G343" t="str">
        <f>"Statutární město Karviná"</f>
        <v>Statutární město Karviná</v>
      </c>
      <c r="H343" t="str">
        <f>"297534"</f>
        <v>297534</v>
      </c>
      <c r="I343" t="str">
        <f>"jiná právnická osoba (vč. obce a kraje)"</f>
        <v>jiná právnická osoba (vč. obce a kraje)</v>
      </c>
      <c r="J343" t="str">
        <f>"OPO"</f>
        <v>OPO</v>
      </c>
      <c r="K343" t="str">
        <f>"1"</f>
        <v>1</v>
      </c>
      <c r="L343" t="str">
        <f>"Vlastnické právo"</f>
        <v>Vlastnické právo</v>
      </c>
    </row>
    <row r="344" spans="1:12" x14ac:dyDescent="0.25">
      <c r="A344" t="str">
        <f>"Darkov"</f>
        <v>Darkov</v>
      </c>
      <c r="B344" t="str">
        <f>"945/24"</f>
        <v>945/24</v>
      </c>
      <c r="C344" t="str">
        <f>"300"</f>
        <v>300</v>
      </c>
      <c r="D344" t="str">
        <f>"lesní pozemek"</f>
        <v>lesní pozemek</v>
      </c>
      <c r="E344" t="str">
        <f>"les jiný než hospodářský"</f>
        <v>les jiný než hospodářský</v>
      </c>
      <c r="F344" t="str">
        <f>"10001"</f>
        <v>10001</v>
      </c>
      <c r="G344" t="str">
        <f>"Statutární město Karviná"</f>
        <v>Statutární město Karviná</v>
      </c>
      <c r="H344" t="str">
        <f>"297534"</f>
        <v>297534</v>
      </c>
      <c r="I344" t="str">
        <f>"jiná právnická osoba (vč. obce a kraje)"</f>
        <v>jiná právnická osoba (vč. obce a kraje)</v>
      </c>
      <c r="J344" t="str">
        <f>"OPO"</f>
        <v>OPO</v>
      </c>
      <c r="K344" t="str">
        <f>"1"</f>
        <v>1</v>
      </c>
      <c r="L344" t="str">
        <f>"Vlastnické právo"</f>
        <v>Vlastnické právo</v>
      </c>
    </row>
    <row r="345" spans="1:12" x14ac:dyDescent="0.25">
      <c r="A345" t="str">
        <f>"Darkov"</f>
        <v>Darkov</v>
      </c>
      <c r="B345" t="str">
        <f>"945/30"</f>
        <v>945/30</v>
      </c>
      <c r="C345" t="str">
        <f>"341"</f>
        <v>341</v>
      </c>
      <c r="D345" t="str">
        <f>"lesní pozemek"</f>
        <v>lesní pozemek</v>
      </c>
      <c r="E345" t="str">
        <f>"les jiný než hospodářský"</f>
        <v>les jiný než hospodářský</v>
      </c>
      <c r="F345" t="str">
        <f>"10001"</f>
        <v>10001</v>
      </c>
      <c r="G345" t="str">
        <f>"Statutární město Karviná"</f>
        <v>Statutární město Karviná</v>
      </c>
      <c r="H345" t="str">
        <f>"297534"</f>
        <v>297534</v>
      </c>
      <c r="I345" t="str">
        <f>"jiná právnická osoba (vč. obce a kraje)"</f>
        <v>jiná právnická osoba (vč. obce a kraje)</v>
      </c>
      <c r="J345" t="str">
        <f>"OPO"</f>
        <v>OPO</v>
      </c>
      <c r="K345" t="str">
        <f>"1"</f>
        <v>1</v>
      </c>
      <c r="L345" t="str">
        <f>"Vlastnické právo"</f>
        <v>Vlastnické právo</v>
      </c>
    </row>
    <row r="346" spans="1:12" x14ac:dyDescent="0.25">
      <c r="A346" t="str">
        <f>"Darkov"</f>
        <v>Darkov</v>
      </c>
      <c r="B346" t="str">
        <f>"945/31"</f>
        <v>945/31</v>
      </c>
      <c r="C346" t="str">
        <f>"389"</f>
        <v>389</v>
      </c>
      <c r="D346" t="str">
        <f>"lesní pozemek"</f>
        <v>lesní pozemek</v>
      </c>
      <c r="E346" t="str">
        <f>"les jiný než hospodářský"</f>
        <v>les jiný než hospodářský</v>
      </c>
      <c r="F346" t="str">
        <f>"10001"</f>
        <v>10001</v>
      </c>
      <c r="G346" t="str">
        <f>"Statutární město Karviná"</f>
        <v>Statutární město Karviná</v>
      </c>
      <c r="H346" t="str">
        <f>"297534"</f>
        <v>297534</v>
      </c>
      <c r="I346" t="str">
        <f>"jiná právnická osoba (vč. obce a kraje)"</f>
        <v>jiná právnická osoba (vč. obce a kraje)</v>
      </c>
      <c r="J346" t="str">
        <f>"OPO"</f>
        <v>OPO</v>
      </c>
      <c r="K346" t="str">
        <f>"1"</f>
        <v>1</v>
      </c>
      <c r="L346" t="str">
        <f>"Vlastnické právo"</f>
        <v>Vlastnické právo</v>
      </c>
    </row>
    <row r="347" spans="1:12" x14ac:dyDescent="0.25">
      <c r="A347" t="str">
        <f>"Darkov"</f>
        <v>Darkov</v>
      </c>
      <c r="B347" t="str">
        <f>"945/36"</f>
        <v>945/36</v>
      </c>
      <c r="C347" t="str">
        <f>"30"</f>
        <v>30</v>
      </c>
      <c r="D347" t="str">
        <f>"lesní pozemek"</f>
        <v>lesní pozemek</v>
      </c>
      <c r="E347" t="str">
        <f>"les jiný než hospodářský"</f>
        <v>les jiný než hospodářský</v>
      </c>
      <c r="F347" t="str">
        <f>"10001"</f>
        <v>10001</v>
      </c>
      <c r="G347" t="str">
        <f>"Statutární město Karviná"</f>
        <v>Statutární město Karviná</v>
      </c>
      <c r="H347" t="str">
        <f>"297534"</f>
        <v>297534</v>
      </c>
      <c r="I347" t="str">
        <f>"jiná právnická osoba (vč. obce a kraje)"</f>
        <v>jiná právnická osoba (vč. obce a kraje)</v>
      </c>
      <c r="J347" t="str">
        <f>"OPO"</f>
        <v>OPO</v>
      </c>
      <c r="K347" t="str">
        <f>"1"</f>
        <v>1</v>
      </c>
      <c r="L347" t="str">
        <f>"Vlastnické právo"</f>
        <v>Vlastnické právo</v>
      </c>
    </row>
    <row r="348" spans="1:12" x14ac:dyDescent="0.25">
      <c r="A348" t="str">
        <f>"Darkov"</f>
        <v>Darkov</v>
      </c>
      <c r="B348" t="str">
        <f>"945/37"</f>
        <v>945/37</v>
      </c>
      <c r="C348" t="str">
        <f>"46"</f>
        <v>46</v>
      </c>
      <c r="D348" t="str">
        <f>"lesní pozemek"</f>
        <v>lesní pozemek</v>
      </c>
      <c r="E348" t="str">
        <f>"les jiný než hospodářský"</f>
        <v>les jiný než hospodářský</v>
      </c>
      <c r="F348" t="str">
        <f>"10001"</f>
        <v>10001</v>
      </c>
      <c r="G348" t="str">
        <f>"Statutární město Karviná"</f>
        <v>Statutární město Karviná</v>
      </c>
      <c r="H348" t="str">
        <f>"297534"</f>
        <v>297534</v>
      </c>
      <c r="I348" t="str">
        <f>"jiná právnická osoba (vč. obce a kraje)"</f>
        <v>jiná právnická osoba (vč. obce a kraje)</v>
      </c>
      <c r="J348" t="str">
        <f>"OPO"</f>
        <v>OPO</v>
      </c>
      <c r="K348" t="str">
        <f>"1"</f>
        <v>1</v>
      </c>
      <c r="L348" t="str">
        <f>"Vlastnické právo"</f>
        <v>Vlastnické právo</v>
      </c>
    </row>
    <row r="349" spans="1:12" x14ac:dyDescent="0.25">
      <c r="A349" t="str">
        <f>"Darkov"</f>
        <v>Darkov</v>
      </c>
      <c r="B349" t="str">
        <f>"963"</f>
        <v>963</v>
      </c>
      <c r="C349" t="str">
        <f>"12794"</f>
        <v>12794</v>
      </c>
      <c r="D349" t="str">
        <f>"lesní pozemek"</f>
        <v>lesní pozemek</v>
      </c>
      <c r="E349" t="str">
        <f>"les jiný než hospodářský"</f>
        <v>les jiný než hospodářský</v>
      </c>
      <c r="F349" t="str">
        <f>"10001"</f>
        <v>10001</v>
      </c>
      <c r="G349" t="str">
        <f>"Statutární město Karviná"</f>
        <v>Statutární město Karviná</v>
      </c>
      <c r="H349" t="str">
        <f>"297534"</f>
        <v>297534</v>
      </c>
      <c r="I349" t="str">
        <f>"jiná právnická osoba (vč. obce a kraje)"</f>
        <v>jiná právnická osoba (vč. obce a kraje)</v>
      </c>
      <c r="J349" t="str">
        <f>"OPO"</f>
        <v>OPO</v>
      </c>
      <c r="K349" t="str">
        <f>"1"</f>
        <v>1</v>
      </c>
      <c r="L349" t="str">
        <f>"Vlastnické právo"</f>
        <v>Vlastnické právo</v>
      </c>
    </row>
    <row r="350" spans="1:12" x14ac:dyDescent="0.25">
      <c r="A350" t="str">
        <f>"Darkov"</f>
        <v>Darkov</v>
      </c>
      <c r="B350" t="str">
        <f>"965/1"</f>
        <v>965/1</v>
      </c>
      <c r="C350" t="str">
        <f>"45"</f>
        <v>45</v>
      </c>
      <c r="D350" t="str">
        <f>"lesní pozemek"</f>
        <v>lesní pozemek</v>
      </c>
      <c r="E350" t="str">
        <f>"les jiný než hospodářský"</f>
        <v>les jiný než hospodářský</v>
      </c>
      <c r="F350" t="str">
        <f>"10001"</f>
        <v>10001</v>
      </c>
      <c r="G350" t="str">
        <f>"Statutární město Karviná"</f>
        <v>Statutární město Karviná</v>
      </c>
      <c r="H350" t="str">
        <f>"297534"</f>
        <v>297534</v>
      </c>
      <c r="I350" t="str">
        <f>"jiná právnická osoba (vč. obce a kraje)"</f>
        <v>jiná právnická osoba (vč. obce a kraje)</v>
      </c>
      <c r="J350" t="str">
        <f>"OPO"</f>
        <v>OPO</v>
      </c>
      <c r="K350" t="str">
        <f>"1"</f>
        <v>1</v>
      </c>
      <c r="L350" t="str">
        <f>"Vlastnické právo"</f>
        <v>Vlastnické právo</v>
      </c>
    </row>
    <row r="351" spans="1:12" x14ac:dyDescent="0.25">
      <c r="A351" t="str">
        <f>"Darkov"</f>
        <v>Darkov</v>
      </c>
      <c r="B351" t="str">
        <f>"972"</f>
        <v>972</v>
      </c>
      <c r="C351" t="str">
        <f>"1753"</f>
        <v>1753</v>
      </c>
      <c r="D351" t="str">
        <f>"lesní pozemek"</f>
        <v>lesní pozemek</v>
      </c>
      <c r="E351" t="str">
        <f>"les jiný než hospodářský"</f>
        <v>les jiný než hospodářský</v>
      </c>
      <c r="F351" t="str">
        <f>"10001"</f>
        <v>10001</v>
      </c>
      <c r="G351" t="str">
        <f>"Statutární město Karviná"</f>
        <v>Statutární město Karviná</v>
      </c>
      <c r="H351" t="str">
        <f>"297534"</f>
        <v>297534</v>
      </c>
      <c r="I351" t="str">
        <f>"jiná právnická osoba (vč. obce a kraje)"</f>
        <v>jiná právnická osoba (vč. obce a kraje)</v>
      </c>
      <c r="J351" t="str">
        <f>"OPO"</f>
        <v>OPO</v>
      </c>
      <c r="K351" t="str">
        <f>"1"</f>
        <v>1</v>
      </c>
      <c r="L351" t="str">
        <f>"Vlastnické právo"</f>
        <v>Vlastnické právo</v>
      </c>
    </row>
    <row r="352" spans="1:12" x14ac:dyDescent="0.25">
      <c r="A352" t="str">
        <f>"Darkov"</f>
        <v>Darkov</v>
      </c>
      <c r="B352" t="str">
        <f>"973/2"</f>
        <v>973/2</v>
      </c>
      <c r="C352" t="str">
        <f>"1038"</f>
        <v>1038</v>
      </c>
      <c r="D352" t="str">
        <f>"lesní pozemek"</f>
        <v>lesní pozemek</v>
      </c>
      <c r="E352" t="str">
        <f>""</f>
        <v/>
      </c>
      <c r="F352" t="str">
        <f>"10001"</f>
        <v>10001</v>
      </c>
      <c r="G352" t="str">
        <f>"Statutární město Karviná"</f>
        <v>Statutární město Karviná</v>
      </c>
      <c r="H352" t="str">
        <f>"297534"</f>
        <v>297534</v>
      </c>
      <c r="I352" t="str">
        <f>"jiná právnická osoba (vč. obce a kraje)"</f>
        <v>jiná právnická osoba (vč. obce a kraje)</v>
      </c>
      <c r="J352" t="str">
        <f>"OPO"</f>
        <v>OPO</v>
      </c>
      <c r="K352" t="str">
        <f>"1"</f>
        <v>1</v>
      </c>
      <c r="L352" t="str">
        <f>"Vlastnické právo"</f>
        <v>Vlastnické právo</v>
      </c>
    </row>
    <row r="353" spans="1:12" x14ac:dyDescent="0.25">
      <c r="A353" t="str">
        <f>"Darkov"</f>
        <v>Darkov</v>
      </c>
      <c r="B353" t="str">
        <f>"974"</f>
        <v>974</v>
      </c>
      <c r="C353" t="str">
        <f>"388"</f>
        <v>388</v>
      </c>
      <c r="D353" t="str">
        <f>"lesní pozemek"</f>
        <v>lesní pozemek</v>
      </c>
      <c r="E353" t="str">
        <f>"les jiný než hospodářský"</f>
        <v>les jiný než hospodářský</v>
      </c>
      <c r="F353" t="str">
        <f>"10001"</f>
        <v>10001</v>
      </c>
      <c r="G353" t="str">
        <f>"Statutární město Karviná"</f>
        <v>Statutární město Karviná</v>
      </c>
      <c r="H353" t="str">
        <f>"297534"</f>
        <v>297534</v>
      </c>
      <c r="I353" t="str">
        <f>"jiná právnická osoba (vč. obce a kraje)"</f>
        <v>jiná právnická osoba (vč. obce a kraje)</v>
      </c>
      <c r="J353" t="str">
        <f>"OPO"</f>
        <v>OPO</v>
      </c>
      <c r="K353" t="str">
        <f>"1"</f>
        <v>1</v>
      </c>
      <c r="L353" t="str">
        <f>"Vlastnické právo"</f>
        <v>Vlastnické právo</v>
      </c>
    </row>
    <row r="354" spans="1:12" x14ac:dyDescent="0.25">
      <c r="A354" t="str">
        <f>"Darkov"</f>
        <v>Darkov</v>
      </c>
      <c r="B354" t="str">
        <f>"993"</f>
        <v>993</v>
      </c>
      <c r="C354" t="str">
        <f>"2269"</f>
        <v>2269</v>
      </c>
      <c r="D354" t="str">
        <f>"lesní pozemek"</f>
        <v>lesní pozemek</v>
      </c>
      <c r="E354" t="str">
        <f>"les jiný než hospodářský"</f>
        <v>les jiný než hospodářský</v>
      </c>
      <c r="F354" t="str">
        <f>"10001"</f>
        <v>10001</v>
      </c>
      <c r="G354" t="str">
        <f>"Statutární město Karviná"</f>
        <v>Statutární město Karviná</v>
      </c>
      <c r="H354" t="str">
        <f>"297534"</f>
        <v>297534</v>
      </c>
      <c r="I354" t="str">
        <f>"jiná právnická osoba (vč. obce a kraje)"</f>
        <v>jiná právnická osoba (vč. obce a kraje)</v>
      </c>
      <c r="J354" t="str">
        <f>"OPO"</f>
        <v>OPO</v>
      </c>
      <c r="K354" t="str">
        <f>"1"</f>
        <v>1</v>
      </c>
      <c r="L354" t="str">
        <f>"Vlastnické právo"</f>
        <v>Vlastnické právo</v>
      </c>
    </row>
    <row r="355" spans="1:12" x14ac:dyDescent="0.25">
      <c r="A355" t="str">
        <f>"Darkov"</f>
        <v>Darkov</v>
      </c>
      <c r="B355" t="str">
        <f>"1005"</f>
        <v>1005</v>
      </c>
      <c r="C355" t="str">
        <f>"2141"</f>
        <v>2141</v>
      </c>
      <c r="D355" t="str">
        <f>"lesní pozemek"</f>
        <v>lesní pozemek</v>
      </c>
      <c r="E355" t="str">
        <f>""</f>
        <v/>
      </c>
      <c r="F355" t="str">
        <f>"10001"</f>
        <v>10001</v>
      </c>
      <c r="G355" t="str">
        <f>"Statutární město Karviná"</f>
        <v>Statutární město Karviná</v>
      </c>
      <c r="H355" t="str">
        <f>"297534"</f>
        <v>297534</v>
      </c>
      <c r="I355" t="str">
        <f>"jiná právnická osoba (vč. obce a kraje)"</f>
        <v>jiná právnická osoba (vč. obce a kraje)</v>
      </c>
      <c r="J355" t="str">
        <f>"OPO"</f>
        <v>OPO</v>
      </c>
      <c r="K355" t="str">
        <f>"1"</f>
        <v>1</v>
      </c>
      <c r="L355" t="str">
        <f>"Vlastnické právo"</f>
        <v>Vlastnické právo</v>
      </c>
    </row>
    <row r="356" spans="1:12" x14ac:dyDescent="0.25">
      <c r="A356" t="str">
        <f>"Darkov"</f>
        <v>Darkov</v>
      </c>
      <c r="B356" t="str">
        <f>"1006"</f>
        <v>1006</v>
      </c>
      <c r="C356" t="str">
        <f>"3387"</f>
        <v>3387</v>
      </c>
      <c r="D356" t="str">
        <f>"lesní pozemek"</f>
        <v>lesní pozemek</v>
      </c>
      <c r="E356" t="str">
        <f>""</f>
        <v/>
      </c>
      <c r="F356" t="str">
        <f>"10001"</f>
        <v>10001</v>
      </c>
      <c r="G356" t="str">
        <f>"Statutární město Karviná"</f>
        <v>Statutární město Karviná</v>
      </c>
      <c r="H356" t="str">
        <f>"297534"</f>
        <v>297534</v>
      </c>
      <c r="I356" t="str">
        <f>"jiná právnická osoba (vč. obce a kraje)"</f>
        <v>jiná právnická osoba (vč. obce a kraje)</v>
      </c>
      <c r="J356" t="str">
        <f>"OPO"</f>
        <v>OPO</v>
      </c>
      <c r="K356" t="str">
        <f>"1"</f>
        <v>1</v>
      </c>
      <c r="L356" t="str">
        <f>"Vlastnické právo"</f>
        <v>Vlastnické právo</v>
      </c>
    </row>
    <row r="357" spans="1:12" x14ac:dyDescent="0.25">
      <c r="A357" t="str">
        <f>"Darkov"</f>
        <v>Darkov</v>
      </c>
      <c r="B357" t="str">
        <f>"1007/1"</f>
        <v>1007/1</v>
      </c>
      <c r="C357" t="str">
        <f>"4321"</f>
        <v>4321</v>
      </c>
      <c r="D357" t="str">
        <f>"lesní pozemek"</f>
        <v>lesní pozemek</v>
      </c>
      <c r="E357" t="str">
        <f>"les jiný než hospodářský"</f>
        <v>les jiný než hospodářský</v>
      </c>
      <c r="F357" t="str">
        <f>"10001"</f>
        <v>10001</v>
      </c>
      <c r="G357" t="str">
        <f>"Statutární město Karviná"</f>
        <v>Statutární město Karviná</v>
      </c>
      <c r="H357" t="str">
        <f>"297534"</f>
        <v>297534</v>
      </c>
      <c r="I357" t="str">
        <f>"jiná právnická osoba (vč. obce a kraje)"</f>
        <v>jiná právnická osoba (vč. obce a kraje)</v>
      </c>
      <c r="J357" t="str">
        <f>"OPO"</f>
        <v>OPO</v>
      </c>
      <c r="K357" t="str">
        <f>"1"</f>
        <v>1</v>
      </c>
      <c r="L357" t="str">
        <f>"Vlastnické právo"</f>
        <v>Vlastnické právo</v>
      </c>
    </row>
    <row r="358" spans="1:12" x14ac:dyDescent="0.25">
      <c r="A358" t="str">
        <f>"Darkov"</f>
        <v>Darkov</v>
      </c>
      <c r="B358" t="str">
        <f>"1007/2"</f>
        <v>1007/2</v>
      </c>
      <c r="C358" t="str">
        <f>"14"</f>
        <v>14</v>
      </c>
      <c r="D358" t="str">
        <f>"lesní pozemek"</f>
        <v>lesní pozemek</v>
      </c>
      <c r="E358" t="str">
        <f>"les jiný než hospodářský"</f>
        <v>les jiný než hospodářský</v>
      </c>
      <c r="F358" t="str">
        <f>"10001"</f>
        <v>10001</v>
      </c>
      <c r="G358" t="str">
        <f>"Statutární město Karviná"</f>
        <v>Statutární město Karviná</v>
      </c>
      <c r="H358" t="str">
        <f>"297534"</f>
        <v>297534</v>
      </c>
      <c r="I358" t="str">
        <f>"jiná právnická osoba (vč. obce a kraje)"</f>
        <v>jiná právnická osoba (vč. obce a kraje)</v>
      </c>
      <c r="J358" t="str">
        <f>"OPO"</f>
        <v>OPO</v>
      </c>
      <c r="K358" t="str">
        <f>"1"</f>
        <v>1</v>
      </c>
      <c r="L358" t="str">
        <f>"Vlastnické právo"</f>
        <v>Vlastnické právo</v>
      </c>
    </row>
    <row r="359" spans="1:12" x14ac:dyDescent="0.25">
      <c r="A359" t="str">
        <f>"Darkov"</f>
        <v>Darkov</v>
      </c>
      <c r="B359" t="str">
        <f>"1008"</f>
        <v>1008</v>
      </c>
      <c r="C359" t="str">
        <f>"1511"</f>
        <v>1511</v>
      </c>
      <c r="D359" t="str">
        <f>"lesní pozemek"</f>
        <v>lesní pozemek</v>
      </c>
      <c r="E359" t="str">
        <f>"les jiný než hospodářský"</f>
        <v>les jiný než hospodářský</v>
      </c>
      <c r="F359" t="str">
        <f>"10001"</f>
        <v>10001</v>
      </c>
      <c r="G359" t="str">
        <f>"Statutární město Karviná"</f>
        <v>Statutární město Karviná</v>
      </c>
      <c r="H359" t="str">
        <f>"297534"</f>
        <v>297534</v>
      </c>
      <c r="I359" t="str">
        <f>"jiná právnická osoba (vč. obce a kraje)"</f>
        <v>jiná právnická osoba (vč. obce a kraje)</v>
      </c>
      <c r="J359" t="str">
        <f>"OPO"</f>
        <v>OPO</v>
      </c>
      <c r="K359" t="str">
        <f>"1"</f>
        <v>1</v>
      </c>
      <c r="L359" t="str">
        <f>"Vlastnické právo"</f>
        <v>Vlastnické právo</v>
      </c>
    </row>
    <row r="360" spans="1:12" x14ac:dyDescent="0.25">
      <c r="A360" t="str">
        <f>"Darkov"</f>
        <v>Darkov</v>
      </c>
      <c r="B360" t="str">
        <f>"1009"</f>
        <v>1009</v>
      </c>
      <c r="C360" t="str">
        <f>"1487"</f>
        <v>1487</v>
      </c>
      <c r="D360" t="str">
        <f>"lesní pozemek"</f>
        <v>lesní pozemek</v>
      </c>
      <c r="E360" t="str">
        <f>"les jiný než hospodářský"</f>
        <v>les jiný než hospodářský</v>
      </c>
      <c r="F360" t="str">
        <f>"10001"</f>
        <v>10001</v>
      </c>
      <c r="G360" t="str">
        <f>"Statutární město Karviná"</f>
        <v>Statutární město Karviná</v>
      </c>
      <c r="H360" t="str">
        <f>"297534"</f>
        <v>297534</v>
      </c>
      <c r="I360" t="str">
        <f>"jiná právnická osoba (vč. obce a kraje)"</f>
        <v>jiná právnická osoba (vč. obce a kraje)</v>
      </c>
      <c r="J360" t="str">
        <f>"OPO"</f>
        <v>OPO</v>
      </c>
      <c r="K360" t="str">
        <f>"1"</f>
        <v>1</v>
      </c>
      <c r="L360" t="str">
        <f>"Vlastnické právo"</f>
        <v>Vlastnické právo</v>
      </c>
    </row>
    <row r="361" spans="1:12" x14ac:dyDescent="0.25">
      <c r="A361" t="str">
        <f>"Darkov"</f>
        <v>Darkov</v>
      </c>
      <c r="B361" t="str">
        <f>"1010"</f>
        <v>1010</v>
      </c>
      <c r="C361" t="str">
        <f>"218"</f>
        <v>218</v>
      </c>
      <c r="D361" t="str">
        <f>"lesní pozemek"</f>
        <v>lesní pozemek</v>
      </c>
      <c r="E361" t="str">
        <f>"les jiný než hospodářský"</f>
        <v>les jiný než hospodářský</v>
      </c>
      <c r="F361" t="str">
        <f>"10001"</f>
        <v>10001</v>
      </c>
      <c r="G361" t="str">
        <f>"Statutární město Karviná"</f>
        <v>Statutární město Karviná</v>
      </c>
      <c r="H361" t="str">
        <f>"297534"</f>
        <v>297534</v>
      </c>
      <c r="I361" t="str">
        <f>"jiná právnická osoba (vč. obce a kraje)"</f>
        <v>jiná právnická osoba (vč. obce a kraje)</v>
      </c>
      <c r="J361" t="str">
        <f>"OPO"</f>
        <v>OPO</v>
      </c>
      <c r="K361" t="str">
        <f>"1"</f>
        <v>1</v>
      </c>
      <c r="L361" t="str">
        <f>"Vlastnické právo"</f>
        <v>Vlastnické právo</v>
      </c>
    </row>
    <row r="362" spans="1:12" x14ac:dyDescent="0.25">
      <c r="A362" t="str">
        <f>"Darkov"</f>
        <v>Darkov</v>
      </c>
      <c r="B362" t="str">
        <f>"1011"</f>
        <v>1011</v>
      </c>
      <c r="C362" t="str">
        <f>"1324"</f>
        <v>1324</v>
      </c>
      <c r="D362" t="str">
        <f>"lesní pozemek"</f>
        <v>lesní pozemek</v>
      </c>
      <c r="E362" t="str">
        <f>"les jiný než hospodářský"</f>
        <v>les jiný než hospodářský</v>
      </c>
      <c r="F362" t="str">
        <f>"10001"</f>
        <v>10001</v>
      </c>
      <c r="G362" t="str">
        <f>"Statutární město Karviná"</f>
        <v>Statutární město Karviná</v>
      </c>
      <c r="H362" t="str">
        <f>"297534"</f>
        <v>297534</v>
      </c>
      <c r="I362" t="str">
        <f>"jiná právnická osoba (vč. obce a kraje)"</f>
        <v>jiná právnická osoba (vč. obce a kraje)</v>
      </c>
      <c r="J362" t="str">
        <f>"OPO"</f>
        <v>OPO</v>
      </c>
      <c r="K362" t="str">
        <f>"1"</f>
        <v>1</v>
      </c>
      <c r="L362" t="str">
        <f>"Vlastnické právo"</f>
        <v>Vlastnické právo</v>
      </c>
    </row>
    <row r="363" spans="1:12" x14ac:dyDescent="0.25">
      <c r="A363" t="str">
        <f>"Darkov"</f>
        <v>Darkov</v>
      </c>
      <c r="B363" t="str">
        <f>"1012"</f>
        <v>1012</v>
      </c>
      <c r="C363" t="str">
        <f>"1088"</f>
        <v>1088</v>
      </c>
      <c r="D363" t="str">
        <f>"lesní pozemek"</f>
        <v>lesní pozemek</v>
      </c>
      <c r="E363" t="str">
        <f>"les jiný než hospodářský"</f>
        <v>les jiný než hospodářský</v>
      </c>
      <c r="F363" t="str">
        <f>"10001"</f>
        <v>10001</v>
      </c>
      <c r="G363" t="str">
        <f>"Statutární město Karviná"</f>
        <v>Statutární město Karviná</v>
      </c>
      <c r="H363" t="str">
        <f>"297534"</f>
        <v>297534</v>
      </c>
      <c r="I363" t="str">
        <f>"jiná právnická osoba (vč. obce a kraje)"</f>
        <v>jiná právnická osoba (vč. obce a kraje)</v>
      </c>
      <c r="J363" t="str">
        <f>"OPO"</f>
        <v>OPO</v>
      </c>
      <c r="K363" t="str">
        <f>"1"</f>
        <v>1</v>
      </c>
      <c r="L363" t="str">
        <f>"Vlastnické právo"</f>
        <v>Vlastnické právo</v>
      </c>
    </row>
    <row r="364" spans="1:12" x14ac:dyDescent="0.25">
      <c r="A364" t="str">
        <f>"Darkov"</f>
        <v>Darkov</v>
      </c>
      <c r="B364" t="str">
        <f>"1013"</f>
        <v>1013</v>
      </c>
      <c r="C364" t="str">
        <f>"1303"</f>
        <v>1303</v>
      </c>
      <c r="D364" t="str">
        <f>"lesní pozemek"</f>
        <v>lesní pozemek</v>
      </c>
      <c r="E364" t="str">
        <f>"les jiný než hospodářský"</f>
        <v>les jiný než hospodářský</v>
      </c>
      <c r="F364" t="str">
        <f>"10001"</f>
        <v>10001</v>
      </c>
      <c r="G364" t="str">
        <f>"Statutární město Karviná"</f>
        <v>Statutární město Karviná</v>
      </c>
      <c r="H364" t="str">
        <f>"297534"</f>
        <v>297534</v>
      </c>
      <c r="I364" t="str">
        <f>"jiná právnická osoba (vč. obce a kraje)"</f>
        <v>jiná právnická osoba (vč. obce a kraje)</v>
      </c>
      <c r="J364" t="str">
        <f>"OPO"</f>
        <v>OPO</v>
      </c>
      <c r="K364" t="str">
        <f>"1"</f>
        <v>1</v>
      </c>
      <c r="L364" t="str">
        <f>"Vlastnické právo"</f>
        <v>Vlastnické právo</v>
      </c>
    </row>
    <row r="365" spans="1:12" x14ac:dyDescent="0.25">
      <c r="A365" t="str">
        <f>"Darkov"</f>
        <v>Darkov</v>
      </c>
      <c r="B365" t="str">
        <f>"1014"</f>
        <v>1014</v>
      </c>
      <c r="C365" t="str">
        <f>"1423"</f>
        <v>1423</v>
      </c>
      <c r="D365" t="str">
        <f>"lesní pozemek"</f>
        <v>lesní pozemek</v>
      </c>
      <c r="E365" t="str">
        <f>"les jiný než hospodářský"</f>
        <v>les jiný než hospodářský</v>
      </c>
      <c r="F365" t="str">
        <f>"10001"</f>
        <v>10001</v>
      </c>
      <c r="G365" t="str">
        <f>"Statutární město Karviná"</f>
        <v>Statutární město Karviná</v>
      </c>
      <c r="H365" t="str">
        <f>"297534"</f>
        <v>297534</v>
      </c>
      <c r="I365" t="str">
        <f>"jiná právnická osoba (vč. obce a kraje)"</f>
        <v>jiná právnická osoba (vč. obce a kraje)</v>
      </c>
      <c r="J365" t="str">
        <f>"OPO"</f>
        <v>OPO</v>
      </c>
      <c r="K365" t="str">
        <f>"1"</f>
        <v>1</v>
      </c>
      <c r="L365" t="str">
        <f>"Vlastnické právo"</f>
        <v>Vlastnické právo</v>
      </c>
    </row>
    <row r="366" spans="1:12" x14ac:dyDescent="0.25">
      <c r="A366" t="str">
        <f>"Darkov"</f>
        <v>Darkov</v>
      </c>
      <c r="B366" t="str">
        <f>"1015"</f>
        <v>1015</v>
      </c>
      <c r="C366" t="str">
        <f>"1185"</f>
        <v>1185</v>
      </c>
      <c r="D366" t="str">
        <f>"lesní pozemek"</f>
        <v>lesní pozemek</v>
      </c>
      <c r="E366" t="str">
        <f>"les jiný než hospodářský"</f>
        <v>les jiný než hospodářský</v>
      </c>
      <c r="F366" t="str">
        <f>"10001"</f>
        <v>10001</v>
      </c>
      <c r="G366" t="str">
        <f>"Statutární město Karviná"</f>
        <v>Statutární město Karviná</v>
      </c>
      <c r="H366" t="str">
        <f>"297534"</f>
        <v>297534</v>
      </c>
      <c r="I366" t="str">
        <f>"jiná právnická osoba (vč. obce a kraje)"</f>
        <v>jiná právnická osoba (vč. obce a kraje)</v>
      </c>
      <c r="J366" t="str">
        <f>"OPO"</f>
        <v>OPO</v>
      </c>
      <c r="K366" t="str">
        <f>"1"</f>
        <v>1</v>
      </c>
      <c r="L366" t="str">
        <f>"Vlastnické právo"</f>
        <v>Vlastnické právo</v>
      </c>
    </row>
    <row r="367" spans="1:12" x14ac:dyDescent="0.25">
      <c r="A367" t="str">
        <f>"Darkov"</f>
        <v>Darkov</v>
      </c>
      <c r="B367" t="str">
        <f>"1016"</f>
        <v>1016</v>
      </c>
      <c r="C367" t="str">
        <f>"1226"</f>
        <v>1226</v>
      </c>
      <c r="D367" t="str">
        <f>"lesní pozemek"</f>
        <v>lesní pozemek</v>
      </c>
      <c r="E367" t="str">
        <f>"les jiný než hospodářský"</f>
        <v>les jiný než hospodářský</v>
      </c>
      <c r="F367" t="str">
        <f>"10001"</f>
        <v>10001</v>
      </c>
      <c r="G367" t="str">
        <f>"Statutární město Karviná"</f>
        <v>Statutární město Karviná</v>
      </c>
      <c r="H367" t="str">
        <f>"297534"</f>
        <v>297534</v>
      </c>
      <c r="I367" t="str">
        <f>"jiná právnická osoba (vč. obce a kraje)"</f>
        <v>jiná právnická osoba (vč. obce a kraje)</v>
      </c>
      <c r="J367" t="str">
        <f>"OPO"</f>
        <v>OPO</v>
      </c>
      <c r="K367" t="str">
        <f>"1"</f>
        <v>1</v>
      </c>
      <c r="L367" t="str">
        <f>"Vlastnické právo"</f>
        <v>Vlastnické právo</v>
      </c>
    </row>
    <row r="368" spans="1:12" x14ac:dyDescent="0.25">
      <c r="A368" t="str">
        <f>"Darkov"</f>
        <v>Darkov</v>
      </c>
      <c r="B368" t="str">
        <f>"1017"</f>
        <v>1017</v>
      </c>
      <c r="C368" t="str">
        <f>"169"</f>
        <v>169</v>
      </c>
      <c r="D368" t="str">
        <f>"lesní pozemek"</f>
        <v>lesní pozemek</v>
      </c>
      <c r="E368" t="str">
        <f>"les jiný než hospodářský"</f>
        <v>les jiný než hospodářský</v>
      </c>
      <c r="F368" t="str">
        <f>"10001"</f>
        <v>10001</v>
      </c>
      <c r="G368" t="str">
        <f>"Statutární město Karviná"</f>
        <v>Statutární město Karviná</v>
      </c>
      <c r="H368" t="str">
        <f>"297534"</f>
        <v>297534</v>
      </c>
      <c r="I368" t="str">
        <f>"jiná právnická osoba (vč. obce a kraje)"</f>
        <v>jiná právnická osoba (vč. obce a kraje)</v>
      </c>
      <c r="J368" t="str">
        <f>"OPO"</f>
        <v>OPO</v>
      </c>
      <c r="K368" t="str">
        <f>"1"</f>
        <v>1</v>
      </c>
      <c r="L368" t="str">
        <f>"Vlastnické právo"</f>
        <v>Vlastnické právo</v>
      </c>
    </row>
    <row r="369" spans="1:12" x14ac:dyDescent="0.25">
      <c r="A369" t="str">
        <f>"Darkov"</f>
        <v>Darkov</v>
      </c>
      <c r="B369" t="str">
        <f>"1018/1"</f>
        <v>1018/1</v>
      </c>
      <c r="C369" t="str">
        <f>"1088"</f>
        <v>1088</v>
      </c>
      <c r="D369" t="str">
        <f>"lesní pozemek"</f>
        <v>lesní pozemek</v>
      </c>
      <c r="E369" t="str">
        <f>"les jiný než hospodářský"</f>
        <v>les jiný než hospodářský</v>
      </c>
      <c r="F369" t="str">
        <f>"10001"</f>
        <v>10001</v>
      </c>
      <c r="G369" t="str">
        <f>"Statutární město Karviná"</f>
        <v>Statutární město Karviná</v>
      </c>
      <c r="H369" t="str">
        <f>"297534"</f>
        <v>297534</v>
      </c>
      <c r="I369" t="str">
        <f>"jiná právnická osoba (vč. obce a kraje)"</f>
        <v>jiná právnická osoba (vč. obce a kraje)</v>
      </c>
      <c r="J369" t="str">
        <f>"OPO"</f>
        <v>OPO</v>
      </c>
      <c r="K369" t="str">
        <f>"1"</f>
        <v>1</v>
      </c>
      <c r="L369" t="str">
        <f>"Vlastnické právo"</f>
        <v>Vlastnické právo</v>
      </c>
    </row>
    <row r="370" spans="1:12" x14ac:dyDescent="0.25">
      <c r="A370" t="str">
        <f>"Darkov"</f>
        <v>Darkov</v>
      </c>
      <c r="B370" t="str">
        <f>"1018/2"</f>
        <v>1018/2</v>
      </c>
      <c r="C370" t="str">
        <f>"24"</f>
        <v>24</v>
      </c>
      <c r="D370" t="str">
        <f>"lesní pozemek"</f>
        <v>lesní pozemek</v>
      </c>
      <c r="E370" t="str">
        <f>"les jiný než hospodářský"</f>
        <v>les jiný než hospodářský</v>
      </c>
      <c r="F370" t="str">
        <f>"10001"</f>
        <v>10001</v>
      </c>
      <c r="G370" t="str">
        <f>"Statutární město Karviná"</f>
        <v>Statutární město Karviná</v>
      </c>
      <c r="H370" t="str">
        <f>"297534"</f>
        <v>297534</v>
      </c>
      <c r="I370" t="str">
        <f>"jiná právnická osoba (vč. obce a kraje)"</f>
        <v>jiná právnická osoba (vč. obce a kraje)</v>
      </c>
      <c r="J370" t="str">
        <f>"OPO"</f>
        <v>OPO</v>
      </c>
      <c r="K370" t="str">
        <f>"1"</f>
        <v>1</v>
      </c>
      <c r="L370" t="str">
        <f>"Vlastnické právo"</f>
        <v>Vlastnické právo</v>
      </c>
    </row>
    <row r="371" spans="1:12" x14ac:dyDescent="0.25">
      <c r="A371" t="str">
        <f>"Darkov"</f>
        <v>Darkov</v>
      </c>
      <c r="B371" t="str">
        <f>"1019"</f>
        <v>1019</v>
      </c>
      <c r="C371" t="str">
        <f>"981"</f>
        <v>981</v>
      </c>
      <c r="D371" t="str">
        <f>"lesní pozemek"</f>
        <v>lesní pozemek</v>
      </c>
      <c r="E371" t="str">
        <f>"les jiný než hospodářský"</f>
        <v>les jiný než hospodářský</v>
      </c>
      <c r="F371" t="str">
        <f>"10001"</f>
        <v>10001</v>
      </c>
      <c r="G371" t="str">
        <f>"Statutární město Karviná"</f>
        <v>Statutární město Karviná</v>
      </c>
      <c r="H371" t="str">
        <f>"297534"</f>
        <v>297534</v>
      </c>
      <c r="I371" t="str">
        <f>"jiná právnická osoba (vč. obce a kraje)"</f>
        <v>jiná právnická osoba (vč. obce a kraje)</v>
      </c>
      <c r="J371" t="str">
        <f>"OPO"</f>
        <v>OPO</v>
      </c>
      <c r="K371" t="str">
        <f>"1"</f>
        <v>1</v>
      </c>
      <c r="L371" t="str">
        <f>"Vlastnické právo"</f>
        <v>Vlastnické právo</v>
      </c>
    </row>
    <row r="372" spans="1:12" x14ac:dyDescent="0.25">
      <c r="A372" t="str">
        <f>"Darkov"</f>
        <v>Darkov</v>
      </c>
      <c r="B372" t="str">
        <f>"1020"</f>
        <v>1020</v>
      </c>
      <c r="C372" t="str">
        <f>"298"</f>
        <v>298</v>
      </c>
      <c r="D372" t="str">
        <f>"lesní pozemek"</f>
        <v>lesní pozemek</v>
      </c>
      <c r="E372" t="str">
        <f>"les jiný než hospodářský"</f>
        <v>les jiný než hospodářský</v>
      </c>
      <c r="F372" t="str">
        <f>"10001"</f>
        <v>10001</v>
      </c>
      <c r="G372" t="str">
        <f>"Statutární město Karviná"</f>
        <v>Statutární město Karviná</v>
      </c>
      <c r="H372" t="str">
        <f>"297534"</f>
        <v>297534</v>
      </c>
      <c r="I372" t="str">
        <f>"jiná právnická osoba (vč. obce a kraje)"</f>
        <v>jiná právnická osoba (vč. obce a kraje)</v>
      </c>
      <c r="J372" t="str">
        <f>"OPO"</f>
        <v>OPO</v>
      </c>
      <c r="K372" t="str">
        <f>"1"</f>
        <v>1</v>
      </c>
      <c r="L372" t="str">
        <f>"Vlastnické právo"</f>
        <v>Vlastnické právo</v>
      </c>
    </row>
    <row r="373" spans="1:12" x14ac:dyDescent="0.25">
      <c r="A373" t="str">
        <f>"Darkov"</f>
        <v>Darkov</v>
      </c>
      <c r="B373" t="str">
        <f>"1021"</f>
        <v>1021</v>
      </c>
      <c r="C373" t="str">
        <f>"201"</f>
        <v>201</v>
      </c>
      <c r="D373" t="str">
        <f>"lesní pozemek"</f>
        <v>lesní pozemek</v>
      </c>
      <c r="E373" t="str">
        <f>"les jiný než hospodářský"</f>
        <v>les jiný než hospodářský</v>
      </c>
      <c r="F373" t="str">
        <f>"10001"</f>
        <v>10001</v>
      </c>
      <c r="G373" t="str">
        <f>"Statutární město Karviná"</f>
        <v>Statutární město Karviná</v>
      </c>
      <c r="H373" t="str">
        <f>"297534"</f>
        <v>297534</v>
      </c>
      <c r="I373" t="str">
        <f>"jiná právnická osoba (vč. obce a kraje)"</f>
        <v>jiná právnická osoba (vč. obce a kraje)</v>
      </c>
      <c r="J373" t="str">
        <f>"OPO"</f>
        <v>OPO</v>
      </c>
      <c r="K373" t="str">
        <f>"1"</f>
        <v>1</v>
      </c>
      <c r="L373" t="str">
        <f>"Vlastnické právo"</f>
        <v>Vlastnické právo</v>
      </c>
    </row>
    <row r="374" spans="1:12" x14ac:dyDescent="0.25">
      <c r="A374" t="str">
        <f>"Darkov"</f>
        <v>Darkov</v>
      </c>
      <c r="B374" t="str">
        <f>"1022"</f>
        <v>1022</v>
      </c>
      <c r="C374" t="str">
        <f>"160"</f>
        <v>160</v>
      </c>
      <c r="D374" t="str">
        <f>"lesní pozemek"</f>
        <v>lesní pozemek</v>
      </c>
      <c r="E374" t="str">
        <f>"les jiný než hospodářský"</f>
        <v>les jiný než hospodářský</v>
      </c>
      <c r="F374" t="str">
        <f>"10001"</f>
        <v>10001</v>
      </c>
      <c r="G374" t="str">
        <f>"Statutární město Karviná"</f>
        <v>Statutární město Karviná</v>
      </c>
      <c r="H374" t="str">
        <f>"297534"</f>
        <v>297534</v>
      </c>
      <c r="I374" t="str">
        <f>"jiná právnická osoba (vč. obce a kraje)"</f>
        <v>jiná právnická osoba (vč. obce a kraje)</v>
      </c>
      <c r="J374" t="str">
        <f>"OPO"</f>
        <v>OPO</v>
      </c>
      <c r="K374" t="str">
        <f>"1"</f>
        <v>1</v>
      </c>
      <c r="L374" t="str">
        <f>"Vlastnické právo"</f>
        <v>Vlastnické právo</v>
      </c>
    </row>
    <row r="375" spans="1:12" x14ac:dyDescent="0.25">
      <c r="A375" t="str">
        <f>"Darkov"</f>
        <v>Darkov</v>
      </c>
      <c r="B375" t="str">
        <f>"1023"</f>
        <v>1023</v>
      </c>
      <c r="C375" t="str">
        <f>"903"</f>
        <v>903</v>
      </c>
      <c r="D375" t="str">
        <f>"lesní pozemek"</f>
        <v>lesní pozemek</v>
      </c>
      <c r="E375" t="str">
        <f>"les jiný než hospodářský"</f>
        <v>les jiný než hospodářský</v>
      </c>
      <c r="F375" t="str">
        <f>"10001"</f>
        <v>10001</v>
      </c>
      <c r="G375" t="str">
        <f>"Statutární město Karviná"</f>
        <v>Statutární město Karviná</v>
      </c>
      <c r="H375" t="str">
        <f>"297534"</f>
        <v>297534</v>
      </c>
      <c r="I375" t="str">
        <f>"jiná právnická osoba (vč. obce a kraje)"</f>
        <v>jiná právnická osoba (vč. obce a kraje)</v>
      </c>
      <c r="J375" t="str">
        <f>"OPO"</f>
        <v>OPO</v>
      </c>
      <c r="K375" t="str">
        <f>"1"</f>
        <v>1</v>
      </c>
      <c r="L375" t="str">
        <f>"Vlastnické právo"</f>
        <v>Vlastnické právo</v>
      </c>
    </row>
    <row r="376" spans="1:12" x14ac:dyDescent="0.25">
      <c r="A376" t="str">
        <f>"Darkov"</f>
        <v>Darkov</v>
      </c>
      <c r="B376" t="str">
        <f>"1024"</f>
        <v>1024</v>
      </c>
      <c r="C376" t="str">
        <f>"3725"</f>
        <v>3725</v>
      </c>
      <c r="D376" t="str">
        <f>"lesní pozemek"</f>
        <v>lesní pozemek</v>
      </c>
      <c r="E376" t="str">
        <f>"les jiný než hospodářský"</f>
        <v>les jiný než hospodářský</v>
      </c>
      <c r="F376" t="str">
        <f>"10001"</f>
        <v>10001</v>
      </c>
      <c r="G376" t="str">
        <f>"Statutární město Karviná"</f>
        <v>Statutární město Karviná</v>
      </c>
      <c r="H376" t="str">
        <f>"297534"</f>
        <v>297534</v>
      </c>
      <c r="I376" t="str">
        <f>"jiná právnická osoba (vč. obce a kraje)"</f>
        <v>jiná právnická osoba (vč. obce a kraje)</v>
      </c>
      <c r="J376" t="str">
        <f>"OPO"</f>
        <v>OPO</v>
      </c>
      <c r="K376" t="str">
        <f>"1"</f>
        <v>1</v>
      </c>
      <c r="L376" t="str">
        <f>"Vlastnické právo"</f>
        <v>Vlastnické právo</v>
      </c>
    </row>
    <row r="377" spans="1:12" x14ac:dyDescent="0.25">
      <c r="A377" t="str">
        <f>"Darkov"</f>
        <v>Darkov</v>
      </c>
      <c r="B377" t="str">
        <f>"1027"</f>
        <v>1027</v>
      </c>
      <c r="C377" t="str">
        <f>"1029"</f>
        <v>1029</v>
      </c>
      <c r="D377" t="str">
        <f>"lesní pozemek"</f>
        <v>lesní pozemek</v>
      </c>
      <c r="E377" t="str">
        <f>"les jiný než hospodářský"</f>
        <v>les jiný než hospodářský</v>
      </c>
      <c r="F377" t="str">
        <f>"10001"</f>
        <v>10001</v>
      </c>
      <c r="G377" t="str">
        <f>"Statutární město Karviná"</f>
        <v>Statutární město Karviná</v>
      </c>
      <c r="H377" t="str">
        <f>"297534"</f>
        <v>297534</v>
      </c>
      <c r="I377" t="str">
        <f>"jiná právnická osoba (vč. obce a kraje)"</f>
        <v>jiná právnická osoba (vč. obce a kraje)</v>
      </c>
      <c r="J377" t="str">
        <f>"OPO"</f>
        <v>OPO</v>
      </c>
      <c r="K377" t="str">
        <f>"1"</f>
        <v>1</v>
      </c>
      <c r="L377" t="str">
        <f>"Vlastnické právo"</f>
        <v>Vlastnické právo</v>
      </c>
    </row>
    <row r="378" spans="1:12" x14ac:dyDescent="0.25">
      <c r="A378" t="str">
        <f>"Darkov"</f>
        <v>Darkov</v>
      </c>
      <c r="B378" t="str">
        <f>"1028"</f>
        <v>1028</v>
      </c>
      <c r="C378" t="str">
        <f>"264"</f>
        <v>264</v>
      </c>
      <c r="D378" t="str">
        <f>"lesní pozemek"</f>
        <v>lesní pozemek</v>
      </c>
      <c r="E378" t="str">
        <f>"les jiný než hospodářský"</f>
        <v>les jiný než hospodářský</v>
      </c>
      <c r="F378" t="str">
        <f>"10001"</f>
        <v>10001</v>
      </c>
      <c r="G378" t="str">
        <f>"Statutární město Karviná"</f>
        <v>Statutární město Karviná</v>
      </c>
      <c r="H378" t="str">
        <f>"297534"</f>
        <v>297534</v>
      </c>
      <c r="I378" t="str">
        <f>"jiná právnická osoba (vč. obce a kraje)"</f>
        <v>jiná právnická osoba (vč. obce a kraje)</v>
      </c>
      <c r="J378" t="str">
        <f>"OPO"</f>
        <v>OPO</v>
      </c>
      <c r="K378" t="str">
        <f>"1"</f>
        <v>1</v>
      </c>
      <c r="L378" t="str">
        <f>"Vlastnické právo"</f>
        <v>Vlastnické právo</v>
      </c>
    </row>
    <row r="379" spans="1:12" x14ac:dyDescent="0.25">
      <c r="A379" t="str">
        <f>"Darkov"</f>
        <v>Darkov</v>
      </c>
      <c r="B379" t="str">
        <f>"1029"</f>
        <v>1029</v>
      </c>
      <c r="C379" t="str">
        <f>"252"</f>
        <v>252</v>
      </c>
      <c r="D379" t="str">
        <f>"lesní pozemek"</f>
        <v>lesní pozemek</v>
      </c>
      <c r="E379" t="str">
        <f>"les jiný než hospodářský"</f>
        <v>les jiný než hospodářský</v>
      </c>
      <c r="F379" t="str">
        <f>"10001"</f>
        <v>10001</v>
      </c>
      <c r="G379" t="str">
        <f>"Statutární město Karviná"</f>
        <v>Statutární město Karviná</v>
      </c>
      <c r="H379" t="str">
        <f>"297534"</f>
        <v>297534</v>
      </c>
      <c r="I379" t="str">
        <f>"jiná právnická osoba (vč. obce a kraje)"</f>
        <v>jiná právnická osoba (vč. obce a kraje)</v>
      </c>
      <c r="J379" t="str">
        <f>"OPO"</f>
        <v>OPO</v>
      </c>
      <c r="K379" t="str">
        <f>"1"</f>
        <v>1</v>
      </c>
      <c r="L379" t="str">
        <f>"Vlastnické právo"</f>
        <v>Vlastnické právo</v>
      </c>
    </row>
    <row r="380" spans="1:12" x14ac:dyDescent="0.25">
      <c r="A380" t="str">
        <f>"Darkov"</f>
        <v>Darkov</v>
      </c>
      <c r="B380" t="str">
        <f>"1030"</f>
        <v>1030</v>
      </c>
      <c r="C380" t="str">
        <f>"1059"</f>
        <v>1059</v>
      </c>
      <c r="D380" t="str">
        <f>"lesní pozemek"</f>
        <v>lesní pozemek</v>
      </c>
      <c r="E380" t="str">
        <f>"les jiný než hospodářský"</f>
        <v>les jiný než hospodářský</v>
      </c>
      <c r="F380" t="str">
        <f>"10001"</f>
        <v>10001</v>
      </c>
      <c r="G380" t="str">
        <f>"Statutární město Karviná"</f>
        <v>Statutární město Karviná</v>
      </c>
      <c r="H380" t="str">
        <f>"297534"</f>
        <v>297534</v>
      </c>
      <c r="I380" t="str">
        <f>"jiná právnická osoba (vč. obce a kraje)"</f>
        <v>jiná právnická osoba (vč. obce a kraje)</v>
      </c>
      <c r="J380" t="str">
        <f>"OPO"</f>
        <v>OPO</v>
      </c>
      <c r="K380" t="str">
        <f>"1"</f>
        <v>1</v>
      </c>
      <c r="L380" t="str">
        <f>"Vlastnické právo"</f>
        <v>Vlastnické právo</v>
      </c>
    </row>
    <row r="381" spans="1:12" x14ac:dyDescent="0.25">
      <c r="A381" t="str">
        <f>"Darkov"</f>
        <v>Darkov</v>
      </c>
      <c r="B381" t="str">
        <f>"1031"</f>
        <v>1031</v>
      </c>
      <c r="C381" t="str">
        <f>"320"</f>
        <v>320</v>
      </c>
      <c r="D381" t="str">
        <f>"lesní pozemek"</f>
        <v>lesní pozemek</v>
      </c>
      <c r="E381" t="str">
        <f>"les jiný než hospodářský"</f>
        <v>les jiný než hospodářský</v>
      </c>
      <c r="F381" t="str">
        <f>"10001"</f>
        <v>10001</v>
      </c>
      <c r="G381" t="str">
        <f>"Statutární město Karviná"</f>
        <v>Statutární město Karviná</v>
      </c>
      <c r="H381" t="str">
        <f>"297534"</f>
        <v>297534</v>
      </c>
      <c r="I381" t="str">
        <f>"jiná právnická osoba (vč. obce a kraje)"</f>
        <v>jiná právnická osoba (vč. obce a kraje)</v>
      </c>
      <c r="J381" t="str">
        <f>"OPO"</f>
        <v>OPO</v>
      </c>
      <c r="K381" t="str">
        <f>"1"</f>
        <v>1</v>
      </c>
      <c r="L381" t="str">
        <f>"Vlastnické právo"</f>
        <v>Vlastnické právo</v>
      </c>
    </row>
    <row r="382" spans="1:12" x14ac:dyDescent="0.25">
      <c r="A382" t="str">
        <f>"Darkov"</f>
        <v>Darkov</v>
      </c>
      <c r="B382" t="str">
        <f>"1032"</f>
        <v>1032</v>
      </c>
      <c r="C382" t="str">
        <f>"318"</f>
        <v>318</v>
      </c>
      <c r="D382" t="str">
        <f>"lesní pozemek"</f>
        <v>lesní pozemek</v>
      </c>
      <c r="E382" t="str">
        <f>"les jiný než hospodářský"</f>
        <v>les jiný než hospodářský</v>
      </c>
      <c r="F382" t="str">
        <f>"10001"</f>
        <v>10001</v>
      </c>
      <c r="G382" t="str">
        <f>"Statutární město Karviná"</f>
        <v>Statutární město Karviná</v>
      </c>
      <c r="H382" t="str">
        <f>"297534"</f>
        <v>297534</v>
      </c>
      <c r="I382" t="str">
        <f>"jiná právnická osoba (vč. obce a kraje)"</f>
        <v>jiná právnická osoba (vč. obce a kraje)</v>
      </c>
      <c r="J382" t="str">
        <f>"OPO"</f>
        <v>OPO</v>
      </c>
      <c r="K382" t="str">
        <f>"1"</f>
        <v>1</v>
      </c>
      <c r="L382" t="str">
        <f>"Vlastnické právo"</f>
        <v>Vlastnické právo</v>
      </c>
    </row>
    <row r="383" spans="1:12" x14ac:dyDescent="0.25">
      <c r="A383" t="str">
        <f>"Darkov"</f>
        <v>Darkov</v>
      </c>
      <c r="B383" t="str">
        <f>"1033"</f>
        <v>1033</v>
      </c>
      <c r="C383" t="str">
        <f>"658"</f>
        <v>658</v>
      </c>
      <c r="D383" t="str">
        <f>"lesní pozemek"</f>
        <v>lesní pozemek</v>
      </c>
      <c r="E383" t="str">
        <f>"les jiný než hospodářský"</f>
        <v>les jiný než hospodářský</v>
      </c>
      <c r="F383" t="str">
        <f>"10001"</f>
        <v>10001</v>
      </c>
      <c r="G383" t="str">
        <f>"Statutární město Karviná"</f>
        <v>Statutární město Karviná</v>
      </c>
      <c r="H383" t="str">
        <f>"297534"</f>
        <v>297534</v>
      </c>
      <c r="I383" t="str">
        <f>"jiná právnická osoba (vč. obce a kraje)"</f>
        <v>jiná právnická osoba (vč. obce a kraje)</v>
      </c>
      <c r="J383" t="str">
        <f>"OPO"</f>
        <v>OPO</v>
      </c>
      <c r="K383" t="str">
        <f>"1"</f>
        <v>1</v>
      </c>
      <c r="L383" t="str">
        <f>"Vlastnické právo"</f>
        <v>Vlastnické právo</v>
      </c>
    </row>
    <row r="384" spans="1:12" x14ac:dyDescent="0.25">
      <c r="A384" t="str">
        <f>"Darkov"</f>
        <v>Darkov</v>
      </c>
      <c r="B384" t="str">
        <f>"1034"</f>
        <v>1034</v>
      </c>
      <c r="C384" t="str">
        <f>"361"</f>
        <v>361</v>
      </c>
      <c r="D384" t="str">
        <f>"lesní pozemek"</f>
        <v>lesní pozemek</v>
      </c>
      <c r="E384" t="str">
        <f>"les jiný než hospodářský"</f>
        <v>les jiný než hospodářský</v>
      </c>
      <c r="F384" t="str">
        <f>"10001"</f>
        <v>10001</v>
      </c>
      <c r="G384" t="str">
        <f>"Statutární město Karviná"</f>
        <v>Statutární město Karviná</v>
      </c>
      <c r="H384" t="str">
        <f>"297534"</f>
        <v>297534</v>
      </c>
      <c r="I384" t="str">
        <f>"jiná právnická osoba (vč. obce a kraje)"</f>
        <v>jiná právnická osoba (vč. obce a kraje)</v>
      </c>
      <c r="J384" t="str">
        <f>"OPO"</f>
        <v>OPO</v>
      </c>
      <c r="K384" t="str">
        <f>"1"</f>
        <v>1</v>
      </c>
      <c r="L384" t="str">
        <f>"Vlastnické právo"</f>
        <v>Vlastnické právo</v>
      </c>
    </row>
    <row r="385" spans="1:12" x14ac:dyDescent="0.25">
      <c r="A385" t="str">
        <f>"Darkov"</f>
        <v>Darkov</v>
      </c>
      <c r="B385" t="str">
        <f>"1035"</f>
        <v>1035</v>
      </c>
      <c r="C385" t="str">
        <f>"971"</f>
        <v>971</v>
      </c>
      <c r="D385" t="str">
        <f>"lesní pozemek"</f>
        <v>lesní pozemek</v>
      </c>
      <c r="E385" t="str">
        <f>"les jiný než hospodářský"</f>
        <v>les jiný než hospodářský</v>
      </c>
      <c r="F385" t="str">
        <f>"10001"</f>
        <v>10001</v>
      </c>
      <c r="G385" t="str">
        <f>"Statutární město Karviná"</f>
        <v>Statutární město Karviná</v>
      </c>
      <c r="H385" t="str">
        <f>"297534"</f>
        <v>297534</v>
      </c>
      <c r="I385" t="str">
        <f>"jiná právnická osoba (vč. obce a kraje)"</f>
        <v>jiná právnická osoba (vč. obce a kraje)</v>
      </c>
      <c r="J385" t="str">
        <f>"OPO"</f>
        <v>OPO</v>
      </c>
      <c r="K385" t="str">
        <f>"1"</f>
        <v>1</v>
      </c>
      <c r="L385" t="str">
        <f>"Vlastnické právo"</f>
        <v>Vlastnické právo</v>
      </c>
    </row>
    <row r="386" spans="1:12" x14ac:dyDescent="0.25">
      <c r="A386" t="str">
        <f>"Darkov"</f>
        <v>Darkov</v>
      </c>
      <c r="B386" t="str">
        <f>"1036"</f>
        <v>1036</v>
      </c>
      <c r="C386" t="str">
        <f>"183"</f>
        <v>183</v>
      </c>
      <c r="D386" t="str">
        <f>"lesní pozemek"</f>
        <v>lesní pozemek</v>
      </c>
      <c r="E386" t="str">
        <f>"les jiný než hospodářský"</f>
        <v>les jiný než hospodářský</v>
      </c>
      <c r="F386" t="str">
        <f>"10001"</f>
        <v>10001</v>
      </c>
      <c r="G386" t="str">
        <f>"Statutární město Karviná"</f>
        <v>Statutární město Karviná</v>
      </c>
      <c r="H386" t="str">
        <f>"297534"</f>
        <v>297534</v>
      </c>
      <c r="I386" t="str">
        <f>"jiná právnická osoba (vč. obce a kraje)"</f>
        <v>jiná právnická osoba (vč. obce a kraje)</v>
      </c>
      <c r="J386" t="str">
        <f>"OPO"</f>
        <v>OPO</v>
      </c>
      <c r="K386" t="str">
        <f>"1"</f>
        <v>1</v>
      </c>
      <c r="L386" t="str">
        <f>"Vlastnické právo"</f>
        <v>Vlastnické právo</v>
      </c>
    </row>
    <row r="387" spans="1:12" x14ac:dyDescent="0.25">
      <c r="A387" t="str">
        <f>"Darkov"</f>
        <v>Darkov</v>
      </c>
      <c r="B387" t="str">
        <f>"1037"</f>
        <v>1037</v>
      </c>
      <c r="C387" t="str">
        <f>"466"</f>
        <v>466</v>
      </c>
      <c r="D387" t="str">
        <f>"lesní pozemek"</f>
        <v>lesní pozemek</v>
      </c>
      <c r="E387" t="str">
        <f>"les jiný než hospodářský"</f>
        <v>les jiný než hospodářský</v>
      </c>
      <c r="F387" t="str">
        <f>"10001"</f>
        <v>10001</v>
      </c>
      <c r="G387" t="str">
        <f>"Statutární město Karviná"</f>
        <v>Statutární město Karviná</v>
      </c>
      <c r="H387" t="str">
        <f>"297534"</f>
        <v>297534</v>
      </c>
      <c r="I387" t="str">
        <f>"jiná právnická osoba (vč. obce a kraje)"</f>
        <v>jiná právnická osoba (vč. obce a kraje)</v>
      </c>
      <c r="J387" t="str">
        <f>"OPO"</f>
        <v>OPO</v>
      </c>
      <c r="K387" t="str">
        <f>"1"</f>
        <v>1</v>
      </c>
      <c r="L387" t="str">
        <f>"Vlastnické právo"</f>
        <v>Vlastnické právo</v>
      </c>
    </row>
    <row r="388" spans="1:12" x14ac:dyDescent="0.25">
      <c r="A388" t="str">
        <f>"Darkov"</f>
        <v>Darkov</v>
      </c>
      <c r="B388" t="str">
        <f>"1038"</f>
        <v>1038</v>
      </c>
      <c r="C388" t="str">
        <f>"646"</f>
        <v>646</v>
      </c>
      <c r="D388" t="str">
        <f>"lesní pozemek"</f>
        <v>lesní pozemek</v>
      </c>
      <c r="E388" t="str">
        <f>"les jiný než hospodářský"</f>
        <v>les jiný než hospodářský</v>
      </c>
      <c r="F388" t="str">
        <f>"10001"</f>
        <v>10001</v>
      </c>
      <c r="G388" t="str">
        <f>"Statutární město Karviná"</f>
        <v>Statutární město Karviná</v>
      </c>
      <c r="H388" t="str">
        <f>"297534"</f>
        <v>297534</v>
      </c>
      <c r="I388" t="str">
        <f>"jiná právnická osoba (vč. obce a kraje)"</f>
        <v>jiná právnická osoba (vč. obce a kraje)</v>
      </c>
      <c r="J388" t="str">
        <f>"OPO"</f>
        <v>OPO</v>
      </c>
      <c r="K388" t="str">
        <f>"1"</f>
        <v>1</v>
      </c>
      <c r="L388" t="str">
        <f>"Vlastnické právo"</f>
        <v>Vlastnické právo</v>
      </c>
    </row>
    <row r="389" spans="1:12" x14ac:dyDescent="0.25">
      <c r="A389" t="str">
        <f>"Darkov"</f>
        <v>Darkov</v>
      </c>
      <c r="B389" t="str">
        <f>"1039"</f>
        <v>1039</v>
      </c>
      <c r="C389" t="str">
        <f>"1372"</f>
        <v>1372</v>
      </c>
      <c r="D389" t="str">
        <f>"lesní pozemek"</f>
        <v>lesní pozemek</v>
      </c>
      <c r="E389" t="str">
        <f>"les jiný než hospodářský"</f>
        <v>les jiný než hospodářský</v>
      </c>
      <c r="F389" t="str">
        <f>"10001"</f>
        <v>10001</v>
      </c>
      <c r="G389" t="str">
        <f>"Statutární město Karviná"</f>
        <v>Statutární město Karviná</v>
      </c>
      <c r="H389" t="str">
        <f>"297534"</f>
        <v>297534</v>
      </c>
      <c r="I389" t="str">
        <f>"jiná právnická osoba (vč. obce a kraje)"</f>
        <v>jiná právnická osoba (vč. obce a kraje)</v>
      </c>
      <c r="J389" t="str">
        <f>"OPO"</f>
        <v>OPO</v>
      </c>
      <c r="K389" t="str">
        <f>"1"</f>
        <v>1</v>
      </c>
      <c r="L389" t="str">
        <f>"Vlastnické právo"</f>
        <v>Vlastnické právo</v>
      </c>
    </row>
    <row r="390" spans="1:12" x14ac:dyDescent="0.25">
      <c r="A390" t="str">
        <f>"Darkov"</f>
        <v>Darkov</v>
      </c>
      <c r="B390" t="str">
        <f>"1040/1"</f>
        <v>1040/1</v>
      </c>
      <c r="C390" t="str">
        <f>"1211"</f>
        <v>1211</v>
      </c>
      <c r="D390" t="str">
        <f>"lesní pozemek"</f>
        <v>lesní pozemek</v>
      </c>
      <c r="E390" t="str">
        <f>"les jiný než hospodářský"</f>
        <v>les jiný než hospodářský</v>
      </c>
      <c r="F390" t="str">
        <f>"10001"</f>
        <v>10001</v>
      </c>
      <c r="G390" t="str">
        <f>"Statutární město Karviná"</f>
        <v>Statutární město Karviná</v>
      </c>
      <c r="H390" t="str">
        <f>"297534"</f>
        <v>297534</v>
      </c>
      <c r="I390" t="str">
        <f>"jiná právnická osoba (vč. obce a kraje)"</f>
        <v>jiná právnická osoba (vč. obce a kraje)</v>
      </c>
      <c r="J390" t="str">
        <f>"OPO"</f>
        <v>OPO</v>
      </c>
      <c r="K390" t="str">
        <f>"1"</f>
        <v>1</v>
      </c>
      <c r="L390" t="str">
        <f>"Vlastnické právo"</f>
        <v>Vlastnické právo</v>
      </c>
    </row>
    <row r="391" spans="1:12" x14ac:dyDescent="0.25">
      <c r="A391" t="str">
        <f>"Darkov"</f>
        <v>Darkov</v>
      </c>
      <c r="B391" t="str">
        <f>"1040/2"</f>
        <v>1040/2</v>
      </c>
      <c r="C391" t="str">
        <f>"265"</f>
        <v>265</v>
      </c>
      <c r="D391" t="str">
        <f>"lesní pozemek"</f>
        <v>lesní pozemek</v>
      </c>
      <c r="E391" t="str">
        <f>"les jiný než hospodářský"</f>
        <v>les jiný než hospodářský</v>
      </c>
      <c r="F391" t="str">
        <f>"10001"</f>
        <v>10001</v>
      </c>
      <c r="G391" t="str">
        <f>"Statutární město Karviná"</f>
        <v>Statutární město Karviná</v>
      </c>
      <c r="H391" t="str">
        <f>"297534"</f>
        <v>297534</v>
      </c>
      <c r="I391" t="str">
        <f>"jiná právnická osoba (vč. obce a kraje)"</f>
        <v>jiná právnická osoba (vč. obce a kraje)</v>
      </c>
      <c r="J391" t="str">
        <f>"OPO"</f>
        <v>OPO</v>
      </c>
      <c r="K391" t="str">
        <f>"1"</f>
        <v>1</v>
      </c>
      <c r="L391" t="str">
        <f>"Vlastnické právo"</f>
        <v>Vlastnické právo</v>
      </c>
    </row>
    <row r="392" spans="1:12" x14ac:dyDescent="0.25">
      <c r="A392" t="str">
        <f>"Darkov"</f>
        <v>Darkov</v>
      </c>
      <c r="B392" t="str">
        <f>"1040/3"</f>
        <v>1040/3</v>
      </c>
      <c r="C392" t="str">
        <f>"27"</f>
        <v>27</v>
      </c>
      <c r="D392" t="str">
        <f>"lesní pozemek"</f>
        <v>lesní pozemek</v>
      </c>
      <c r="E392" t="str">
        <f>"les jiný než hospodářský"</f>
        <v>les jiný než hospodářský</v>
      </c>
      <c r="F392" t="str">
        <f>"10001"</f>
        <v>10001</v>
      </c>
      <c r="G392" t="str">
        <f>"Statutární město Karviná"</f>
        <v>Statutární město Karviná</v>
      </c>
      <c r="H392" t="str">
        <f>"297534"</f>
        <v>297534</v>
      </c>
      <c r="I392" t="str">
        <f>"jiná právnická osoba (vč. obce a kraje)"</f>
        <v>jiná právnická osoba (vč. obce a kraje)</v>
      </c>
      <c r="J392" t="str">
        <f>"OPO"</f>
        <v>OPO</v>
      </c>
      <c r="K392" t="str">
        <f>"1"</f>
        <v>1</v>
      </c>
      <c r="L392" t="str">
        <f>"Vlastnické právo"</f>
        <v>Vlastnické právo</v>
      </c>
    </row>
    <row r="393" spans="1:12" x14ac:dyDescent="0.25">
      <c r="A393" t="str">
        <f>"Darkov"</f>
        <v>Darkov</v>
      </c>
      <c r="B393" t="str">
        <f>"1041/1"</f>
        <v>1041/1</v>
      </c>
      <c r="C393" t="str">
        <f>"4226"</f>
        <v>4226</v>
      </c>
      <c r="D393" t="str">
        <f>"lesní pozemek"</f>
        <v>lesní pozemek</v>
      </c>
      <c r="E393" t="str">
        <f>"les jiný než hospodářský"</f>
        <v>les jiný než hospodářský</v>
      </c>
      <c r="F393" t="str">
        <f>"10001"</f>
        <v>10001</v>
      </c>
      <c r="G393" t="str">
        <f>"Statutární město Karviná"</f>
        <v>Statutární město Karviná</v>
      </c>
      <c r="H393" t="str">
        <f>"297534"</f>
        <v>297534</v>
      </c>
      <c r="I393" t="str">
        <f>"jiná právnická osoba (vč. obce a kraje)"</f>
        <v>jiná právnická osoba (vč. obce a kraje)</v>
      </c>
      <c r="J393" t="str">
        <f>"OPO"</f>
        <v>OPO</v>
      </c>
      <c r="K393" t="str">
        <f>"1"</f>
        <v>1</v>
      </c>
      <c r="L393" t="str">
        <f>"Vlastnické právo"</f>
        <v>Vlastnické právo</v>
      </c>
    </row>
    <row r="394" spans="1:12" x14ac:dyDescent="0.25">
      <c r="A394" t="str">
        <f>"Darkov"</f>
        <v>Darkov</v>
      </c>
      <c r="B394" t="str">
        <f>"1041/2"</f>
        <v>1041/2</v>
      </c>
      <c r="C394" t="str">
        <f>"248"</f>
        <v>248</v>
      </c>
      <c r="D394" t="str">
        <f>"lesní pozemek"</f>
        <v>lesní pozemek</v>
      </c>
      <c r="E394" t="str">
        <f>"les jiný než hospodářský"</f>
        <v>les jiný než hospodářský</v>
      </c>
      <c r="F394" t="str">
        <f>"10001"</f>
        <v>10001</v>
      </c>
      <c r="G394" t="str">
        <f>"Statutární město Karviná"</f>
        <v>Statutární město Karviná</v>
      </c>
      <c r="H394" t="str">
        <f>"297534"</f>
        <v>297534</v>
      </c>
      <c r="I394" t="str">
        <f>"jiná právnická osoba (vč. obce a kraje)"</f>
        <v>jiná právnická osoba (vč. obce a kraje)</v>
      </c>
      <c r="J394" t="str">
        <f>"OPO"</f>
        <v>OPO</v>
      </c>
      <c r="K394" t="str">
        <f>"1"</f>
        <v>1</v>
      </c>
      <c r="L394" t="str">
        <f>"Vlastnické právo"</f>
        <v>Vlastnické právo</v>
      </c>
    </row>
    <row r="395" spans="1:12" x14ac:dyDescent="0.25">
      <c r="A395" t="str">
        <f>"Darkov"</f>
        <v>Darkov</v>
      </c>
      <c r="B395" t="str">
        <f>"1042"</f>
        <v>1042</v>
      </c>
      <c r="C395" t="str">
        <f>"294"</f>
        <v>294</v>
      </c>
      <c r="D395" t="str">
        <f>"lesní pozemek"</f>
        <v>lesní pozemek</v>
      </c>
      <c r="E395" t="str">
        <f>"les jiný než hospodářský"</f>
        <v>les jiný než hospodářský</v>
      </c>
      <c r="F395" t="str">
        <f>"10001"</f>
        <v>10001</v>
      </c>
      <c r="G395" t="str">
        <f>"Statutární město Karviná"</f>
        <v>Statutární město Karviná</v>
      </c>
      <c r="H395" t="str">
        <f>"297534"</f>
        <v>297534</v>
      </c>
      <c r="I395" t="str">
        <f>"jiná právnická osoba (vč. obce a kraje)"</f>
        <v>jiná právnická osoba (vč. obce a kraje)</v>
      </c>
      <c r="J395" t="str">
        <f>"OPO"</f>
        <v>OPO</v>
      </c>
      <c r="K395" t="str">
        <f>"1"</f>
        <v>1</v>
      </c>
      <c r="L395" t="str">
        <f>"Vlastnické právo"</f>
        <v>Vlastnické právo</v>
      </c>
    </row>
    <row r="396" spans="1:12" x14ac:dyDescent="0.25">
      <c r="A396" t="str">
        <f>"Darkov"</f>
        <v>Darkov</v>
      </c>
      <c r="B396" t="str">
        <f>"1043"</f>
        <v>1043</v>
      </c>
      <c r="C396" t="str">
        <f>"303"</f>
        <v>303</v>
      </c>
      <c r="D396" t="str">
        <f>"lesní pozemek"</f>
        <v>lesní pozemek</v>
      </c>
      <c r="E396" t="str">
        <f>"les jiný než hospodářský"</f>
        <v>les jiný než hospodářský</v>
      </c>
      <c r="F396" t="str">
        <f>"10001"</f>
        <v>10001</v>
      </c>
      <c r="G396" t="str">
        <f>"Statutární město Karviná"</f>
        <v>Statutární město Karviná</v>
      </c>
      <c r="H396" t="str">
        <f>"297534"</f>
        <v>297534</v>
      </c>
      <c r="I396" t="str">
        <f>"jiná právnická osoba (vč. obce a kraje)"</f>
        <v>jiná právnická osoba (vč. obce a kraje)</v>
      </c>
      <c r="J396" t="str">
        <f>"OPO"</f>
        <v>OPO</v>
      </c>
      <c r="K396" t="str">
        <f>"1"</f>
        <v>1</v>
      </c>
      <c r="L396" t="str">
        <f>"Vlastnické právo"</f>
        <v>Vlastnické právo</v>
      </c>
    </row>
    <row r="397" spans="1:12" x14ac:dyDescent="0.25">
      <c r="A397" t="str">
        <f>"Darkov"</f>
        <v>Darkov</v>
      </c>
      <c r="B397" t="str">
        <f>"1044"</f>
        <v>1044</v>
      </c>
      <c r="C397" t="str">
        <f>"854"</f>
        <v>854</v>
      </c>
      <c r="D397" t="str">
        <f>"lesní pozemek"</f>
        <v>lesní pozemek</v>
      </c>
      <c r="E397" t="str">
        <f>"les jiný než hospodářský"</f>
        <v>les jiný než hospodářský</v>
      </c>
      <c r="F397" t="str">
        <f>"10001"</f>
        <v>10001</v>
      </c>
      <c r="G397" t="str">
        <f>"Statutární město Karviná"</f>
        <v>Statutární město Karviná</v>
      </c>
      <c r="H397" t="str">
        <f>"297534"</f>
        <v>297534</v>
      </c>
      <c r="I397" t="str">
        <f>"jiná právnická osoba (vč. obce a kraje)"</f>
        <v>jiná právnická osoba (vč. obce a kraje)</v>
      </c>
      <c r="J397" t="str">
        <f>"OPO"</f>
        <v>OPO</v>
      </c>
      <c r="K397" t="str">
        <f>"1"</f>
        <v>1</v>
      </c>
      <c r="L397" t="str">
        <f>"Vlastnické právo"</f>
        <v>Vlastnické právo</v>
      </c>
    </row>
    <row r="398" spans="1:12" x14ac:dyDescent="0.25">
      <c r="A398" t="str">
        <f>"Darkov"</f>
        <v>Darkov</v>
      </c>
      <c r="B398" t="str">
        <f>"1045"</f>
        <v>1045</v>
      </c>
      <c r="C398" t="str">
        <f>"176"</f>
        <v>176</v>
      </c>
      <c r="D398" t="str">
        <f>"lesní pozemek"</f>
        <v>lesní pozemek</v>
      </c>
      <c r="E398" t="str">
        <f>"les jiný než hospodářský"</f>
        <v>les jiný než hospodářský</v>
      </c>
      <c r="F398" t="str">
        <f>"10001"</f>
        <v>10001</v>
      </c>
      <c r="G398" t="str">
        <f>"Statutární město Karviná"</f>
        <v>Statutární město Karviná</v>
      </c>
      <c r="H398" t="str">
        <f>"297534"</f>
        <v>297534</v>
      </c>
      <c r="I398" t="str">
        <f>"jiná právnická osoba (vč. obce a kraje)"</f>
        <v>jiná právnická osoba (vč. obce a kraje)</v>
      </c>
      <c r="J398" t="str">
        <f>"OPO"</f>
        <v>OPO</v>
      </c>
      <c r="K398" t="str">
        <f>"1"</f>
        <v>1</v>
      </c>
      <c r="L398" t="str">
        <f>"Vlastnické právo"</f>
        <v>Vlastnické právo</v>
      </c>
    </row>
    <row r="399" spans="1:12" x14ac:dyDescent="0.25">
      <c r="A399" t="str">
        <f>"Darkov"</f>
        <v>Darkov</v>
      </c>
      <c r="B399" t="str">
        <f>"1046"</f>
        <v>1046</v>
      </c>
      <c r="C399" t="str">
        <f>"381"</f>
        <v>381</v>
      </c>
      <c r="D399" t="str">
        <f>"lesní pozemek"</f>
        <v>lesní pozemek</v>
      </c>
      <c r="E399" t="str">
        <f>"les jiný než hospodářský"</f>
        <v>les jiný než hospodářský</v>
      </c>
      <c r="F399" t="str">
        <f>"10001"</f>
        <v>10001</v>
      </c>
      <c r="G399" t="str">
        <f>"Statutární město Karviná"</f>
        <v>Statutární město Karviná</v>
      </c>
      <c r="H399" t="str">
        <f>"297534"</f>
        <v>297534</v>
      </c>
      <c r="I399" t="str">
        <f>"jiná právnická osoba (vč. obce a kraje)"</f>
        <v>jiná právnická osoba (vč. obce a kraje)</v>
      </c>
      <c r="J399" t="str">
        <f>"OPO"</f>
        <v>OPO</v>
      </c>
      <c r="K399" t="str">
        <f>"1"</f>
        <v>1</v>
      </c>
      <c r="L399" t="str">
        <f>"Vlastnické právo"</f>
        <v>Vlastnické právo</v>
      </c>
    </row>
    <row r="400" spans="1:12" x14ac:dyDescent="0.25">
      <c r="A400" t="str">
        <f>"Darkov"</f>
        <v>Darkov</v>
      </c>
      <c r="B400" t="str">
        <f>"1047"</f>
        <v>1047</v>
      </c>
      <c r="C400" t="str">
        <f>"997"</f>
        <v>997</v>
      </c>
      <c r="D400" t="str">
        <f>"lesní pozemek"</f>
        <v>lesní pozemek</v>
      </c>
      <c r="E400" t="str">
        <f>"les jiný než hospodářský"</f>
        <v>les jiný než hospodářský</v>
      </c>
      <c r="F400" t="str">
        <f>"10001"</f>
        <v>10001</v>
      </c>
      <c r="G400" t="str">
        <f>"Statutární město Karviná"</f>
        <v>Statutární město Karviná</v>
      </c>
      <c r="H400" t="str">
        <f>"297534"</f>
        <v>297534</v>
      </c>
      <c r="I400" t="str">
        <f>"jiná právnická osoba (vč. obce a kraje)"</f>
        <v>jiná právnická osoba (vč. obce a kraje)</v>
      </c>
      <c r="J400" t="str">
        <f>"OPO"</f>
        <v>OPO</v>
      </c>
      <c r="K400" t="str">
        <f>"1"</f>
        <v>1</v>
      </c>
      <c r="L400" t="str">
        <f>"Vlastnické právo"</f>
        <v>Vlastnické právo</v>
      </c>
    </row>
    <row r="401" spans="1:12" x14ac:dyDescent="0.25">
      <c r="A401" t="str">
        <f>"Darkov"</f>
        <v>Darkov</v>
      </c>
      <c r="B401" t="str">
        <f>"1048"</f>
        <v>1048</v>
      </c>
      <c r="C401" t="str">
        <f>"1292"</f>
        <v>1292</v>
      </c>
      <c r="D401" t="str">
        <f>"lesní pozemek"</f>
        <v>lesní pozemek</v>
      </c>
      <c r="E401" t="str">
        <f>"les jiný než hospodářský"</f>
        <v>les jiný než hospodářský</v>
      </c>
      <c r="F401" t="str">
        <f>"10001"</f>
        <v>10001</v>
      </c>
      <c r="G401" t="str">
        <f>"Statutární město Karviná"</f>
        <v>Statutární město Karviná</v>
      </c>
      <c r="H401" t="str">
        <f>"297534"</f>
        <v>297534</v>
      </c>
      <c r="I401" t="str">
        <f>"jiná právnická osoba (vč. obce a kraje)"</f>
        <v>jiná právnická osoba (vč. obce a kraje)</v>
      </c>
      <c r="J401" t="str">
        <f>"OPO"</f>
        <v>OPO</v>
      </c>
      <c r="K401" t="str">
        <f>"1"</f>
        <v>1</v>
      </c>
      <c r="L401" t="str">
        <f>"Vlastnické právo"</f>
        <v>Vlastnické právo</v>
      </c>
    </row>
    <row r="402" spans="1:12" x14ac:dyDescent="0.25">
      <c r="A402" t="str">
        <f>"Darkov"</f>
        <v>Darkov</v>
      </c>
      <c r="B402" t="str">
        <f>"1049/1"</f>
        <v>1049/1</v>
      </c>
      <c r="C402" t="str">
        <f>"1065"</f>
        <v>1065</v>
      </c>
      <c r="D402" t="str">
        <f>"lesní pozemek"</f>
        <v>lesní pozemek</v>
      </c>
      <c r="E402" t="str">
        <f>"les jiný než hospodářský"</f>
        <v>les jiný než hospodářský</v>
      </c>
      <c r="F402" t="str">
        <f>"10001"</f>
        <v>10001</v>
      </c>
      <c r="G402" t="str">
        <f>"Statutární město Karviná"</f>
        <v>Statutární město Karviná</v>
      </c>
      <c r="H402" t="str">
        <f>"297534"</f>
        <v>297534</v>
      </c>
      <c r="I402" t="str">
        <f>"jiná právnická osoba (vč. obce a kraje)"</f>
        <v>jiná právnická osoba (vč. obce a kraje)</v>
      </c>
      <c r="J402" t="str">
        <f>"OPO"</f>
        <v>OPO</v>
      </c>
      <c r="K402" t="str">
        <f>"1"</f>
        <v>1</v>
      </c>
      <c r="L402" t="str">
        <f>"Vlastnické právo"</f>
        <v>Vlastnické právo</v>
      </c>
    </row>
    <row r="403" spans="1:12" x14ac:dyDescent="0.25">
      <c r="A403" t="str">
        <f>"Darkov"</f>
        <v>Darkov</v>
      </c>
      <c r="B403" t="str">
        <f>"1049/2"</f>
        <v>1049/2</v>
      </c>
      <c r="C403" t="str">
        <f>"242"</f>
        <v>242</v>
      </c>
      <c r="D403" t="str">
        <f>"lesní pozemek"</f>
        <v>lesní pozemek</v>
      </c>
      <c r="E403" t="str">
        <f>"les jiný než hospodářský"</f>
        <v>les jiný než hospodářský</v>
      </c>
      <c r="F403" t="str">
        <f>"10001"</f>
        <v>10001</v>
      </c>
      <c r="G403" t="str">
        <f>"Statutární město Karviná"</f>
        <v>Statutární město Karviná</v>
      </c>
      <c r="H403" t="str">
        <f>"297534"</f>
        <v>297534</v>
      </c>
      <c r="I403" t="str">
        <f>"jiná právnická osoba (vč. obce a kraje)"</f>
        <v>jiná právnická osoba (vč. obce a kraje)</v>
      </c>
      <c r="J403" t="str">
        <f>"OPO"</f>
        <v>OPO</v>
      </c>
      <c r="K403" t="str">
        <f>"1"</f>
        <v>1</v>
      </c>
      <c r="L403" t="str">
        <f>"Vlastnické právo"</f>
        <v>Vlastnické právo</v>
      </c>
    </row>
    <row r="404" spans="1:12" x14ac:dyDescent="0.25">
      <c r="A404" t="str">
        <f>"Darkov"</f>
        <v>Darkov</v>
      </c>
      <c r="B404" t="str">
        <f>"1050"</f>
        <v>1050</v>
      </c>
      <c r="C404" t="str">
        <f>"252"</f>
        <v>252</v>
      </c>
      <c r="D404" t="str">
        <f>"lesní pozemek"</f>
        <v>lesní pozemek</v>
      </c>
      <c r="E404" t="str">
        <f>"les jiný než hospodářský"</f>
        <v>les jiný než hospodářský</v>
      </c>
      <c r="F404" t="str">
        <f>"10001"</f>
        <v>10001</v>
      </c>
      <c r="G404" t="str">
        <f>"Statutární město Karviná"</f>
        <v>Statutární město Karviná</v>
      </c>
      <c r="H404" t="str">
        <f>"297534"</f>
        <v>297534</v>
      </c>
      <c r="I404" t="str">
        <f>"jiná právnická osoba (vč. obce a kraje)"</f>
        <v>jiná právnická osoba (vč. obce a kraje)</v>
      </c>
      <c r="J404" t="str">
        <f>"OPO"</f>
        <v>OPO</v>
      </c>
      <c r="K404" t="str">
        <f>"1"</f>
        <v>1</v>
      </c>
      <c r="L404" t="str">
        <f>"Vlastnické právo"</f>
        <v>Vlastnické právo</v>
      </c>
    </row>
    <row r="405" spans="1:12" x14ac:dyDescent="0.25">
      <c r="A405" t="str">
        <f>"Darkov"</f>
        <v>Darkov</v>
      </c>
      <c r="B405" t="str">
        <f>"1051"</f>
        <v>1051</v>
      </c>
      <c r="C405" t="str">
        <f>"393"</f>
        <v>393</v>
      </c>
      <c r="D405" t="str">
        <f>"lesní pozemek"</f>
        <v>lesní pozemek</v>
      </c>
      <c r="E405" t="str">
        <f>"les jiný než hospodářský"</f>
        <v>les jiný než hospodářský</v>
      </c>
      <c r="F405" t="str">
        <f>"10001"</f>
        <v>10001</v>
      </c>
      <c r="G405" t="str">
        <f>"Statutární město Karviná"</f>
        <v>Statutární město Karviná</v>
      </c>
      <c r="H405" t="str">
        <f>"297534"</f>
        <v>297534</v>
      </c>
      <c r="I405" t="str">
        <f>"jiná právnická osoba (vč. obce a kraje)"</f>
        <v>jiná právnická osoba (vč. obce a kraje)</v>
      </c>
      <c r="J405" t="str">
        <f>"OPO"</f>
        <v>OPO</v>
      </c>
      <c r="K405" t="str">
        <f>"1"</f>
        <v>1</v>
      </c>
      <c r="L405" t="str">
        <f>"Vlastnické právo"</f>
        <v>Vlastnické právo</v>
      </c>
    </row>
    <row r="406" spans="1:12" x14ac:dyDescent="0.25">
      <c r="A406" t="str">
        <f>"Darkov"</f>
        <v>Darkov</v>
      </c>
      <c r="B406" t="str">
        <f>"1052"</f>
        <v>1052</v>
      </c>
      <c r="C406" t="str">
        <f>"647"</f>
        <v>647</v>
      </c>
      <c r="D406" t="str">
        <f>"lesní pozemek"</f>
        <v>lesní pozemek</v>
      </c>
      <c r="E406" t="str">
        <f>"les jiný než hospodářský"</f>
        <v>les jiný než hospodářský</v>
      </c>
      <c r="F406" t="str">
        <f>"10001"</f>
        <v>10001</v>
      </c>
      <c r="G406" t="str">
        <f>"Statutární město Karviná"</f>
        <v>Statutární město Karviná</v>
      </c>
      <c r="H406" t="str">
        <f>"297534"</f>
        <v>297534</v>
      </c>
      <c r="I406" t="str">
        <f>"jiná právnická osoba (vč. obce a kraje)"</f>
        <v>jiná právnická osoba (vč. obce a kraje)</v>
      </c>
      <c r="J406" t="str">
        <f>"OPO"</f>
        <v>OPO</v>
      </c>
      <c r="K406" t="str">
        <f>"1"</f>
        <v>1</v>
      </c>
      <c r="L406" t="str">
        <f>"Vlastnické právo"</f>
        <v>Vlastnické právo</v>
      </c>
    </row>
    <row r="407" spans="1:12" x14ac:dyDescent="0.25">
      <c r="A407" t="str">
        <f>"Darkov"</f>
        <v>Darkov</v>
      </c>
      <c r="B407" t="str">
        <f>"1053"</f>
        <v>1053</v>
      </c>
      <c r="C407" t="str">
        <f>"694"</f>
        <v>694</v>
      </c>
      <c r="D407" t="str">
        <f>"lesní pozemek"</f>
        <v>lesní pozemek</v>
      </c>
      <c r="E407" t="str">
        <f>"les jiný než hospodářský"</f>
        <v>les jiný než hospodářský</v>
      </c>
      <c r="F407" t="str">
        <f>"10001"</f>
        <v>10001</v>
      </c>
      <c r="G407" t="str">
        <f>"Statutární město Karviná"</f>
        <v>Statutární město Karviná</v>
      </c>
      <c r="H407" t="str">
        <f>"297534"</f>
        <v>297534</v>
      </c>
      <c r="I407" t="str">
        <f>"jiná právnická osoba (vč. obce a kraje)"</f>
        <v>jiná právnická osoba (vč. obce a kraje)</v>
      </c>
      <c r="J407" t="str">
        <f>"OPO"</f>
        <v>OPO</v>
      </c>
      <c r="K407" t="str">
        <f>"1"</f>
        <v>1</v>
      </c>
      <c r="L407" t="str">
        <f>"Vlastnické právo"</f>
        <v>Vlastnické právo</v>
      </c>
    </row>
    <row r="408" spans="1:12" x14ac:dyDescent="0.25">
      <c r="A408" t="str">
        <f>"Darkov"</f>
        <v>Darkov</v>
      </c>
      <c r="B408" t="str">
        <f>"1054"</f>
        <v>1054</v>
      </c>
      <c r="C408" t="str">
        <f>"368"</f>
        <v>368</v>
      </c>
      <c r="D408" t="str">
        <f>"lesní pozemek"</f>
        <v>lesní pozemek</v>
      </c>
      <c r="E408" t="str">
        <f>"les jiný než hospodářský"</f>
        <v>les jiný než hospodářský</v>
      </c>
      <c r="F408" t="str">
        <f>"10001"</f>
        <v>10001</v>
      </c>
      <c r="G408" t="str">
        <f>"Statutární město Karviná"</f>
        <v>Statutární město Karviná</v>
      </c>
      <c r="H408" t="str">
        <f>"297534"</f>
        <v>297534</v>
      </c>
      <c r="I408" t="str">
        <f>"jiná právnická osoba (vč. obce a kraje)"</f>
        <v>jiná právnická osoba (vč. obce a kraje)</v>
      </c>
      <c r="J408" t="str">
        <f>"OPO"</f>
        <v>OPO</v>
      </c>
      <c r="K408" t="str">
        <f>"1"</f>
        <v>1</v>
      </c>
      <c r="L408" t="str">
        <f>"Vlastnické právo"</f>
        <v>Vlastnické právo</v>
      </c>
    </row>
    <row r="409" spans="1:12" x14ac:dyDescent="0.25">
      <c r="A409" t="str">
        <f>"Darkov"</f>
        <v>Darkov</v>
      </c>
      <c r="B409" t="str">
        <f>"1055"</f>
        <v>1055</v>
      </c>
      <c r="C409" t="str">
        <f>"237"</f>
        <v>237</v>
      </c>
      <c r="D409" t="str">
        <f>"lesní pozemek"</f>
        <v>lesní pozemek</v>
      </c>
      <c r="E409" t="str">
        <f>"les jiný než hospodářský"</f>
        <v>les jiný než hospodářský</v>
      </c>
      <c r="F409" t="str">
        <f>"10001"</f>
        <v>10001</v>
      </c>
      <c r="G409" t="str">
        <f>"Statutární město Karviná"</f>
        <v>Statutární město Karviná</v>
      </c>
      <c r="H409" t="str">
        <f>"297534"</f>
        <v>297534</v>
      </c>
      <c r="I409" t="str">
        <f>"jiná právnická osoba (vč. obce a kraje)"</f>
        <v>jiná právnická osoba (vč. obce a kraje)</v>
      </c>
      <c r="J409" t="str">
        <f>"OPO"</f>
        <v>OPO</v>
      </c>
      <c r="K409" t="str">
        <f>"1"</f>
        <v>1</v>
      </c>
      <c r="L409" t="str">
        <f>"Vlastnické právo"</f>
        <v>Vlastnické právo</v>
      </c>
    </row>
    <row r="410" spans="1:12" x14ac:dyDescent="0.25">
      <c r="A410" t="str">
        <f>"Darkov"</f>
        <v>Darkov</v>
      </c>
      <c r="B410" t="str">
        <f>"1058"</f>
        <v>1058</v>
      </c>
      <c r="C410" t="str">
        <f>"238"</f>
        <v>238</v>
      </c>
      <c r="D410" t="str">
        <f>"lesní pozemek"</f>
        <v>lesní pozemek</v>
      </c>
      <c r="E410" t="str">
        <f>"les jiný než hospodářský"</f>
        <v>les jiný než hospodářský</v>
      </c>
      <c r="F410" t="str">
        <f>"10001"</f>
        <v>10001</v>
      </c>
      <c r="G410" t="str">
        <f>"Statutární město Karviná"</f>
        <v>Statutární město Karviná</v>
      </c>
      <c r="H410" t="str">
        <f>"297534"</f>
        <v>297534</v>
      </c>
      <c r="I410" t="str">
        <f>"jiná právnická osoba (vč. obce a kraje)"</f>
        <v>jiná právnická osoba (vč. obce a kraje)</v>
      </c>
      <c r="J410" t="str">
        <f>"OPO"</f>
        <v>OPO</v>
      </c>
      <c r="K410" t="str">
        <f>"1"</f>
        <v>1</v>
      </c>
      <c r="L410" t="str">
        <f>"Vlastnické právo"</f>
        <v>Vlastnické právo</v>
      </c>
    </row>
    <row r="411" spans="1:12" x14ac:dyDescent="0.25">
      <c r="A411" t="str">
        <f>"Darkov"</f>
        <v>Darkov</v>
      </c>
      <c r="B411" t="str">
        <f>"1061"</f>
        <v>1061</v>
      </c>
      <c r="C411" t="str">
        <f>"1902"</f>
        <v>1902</v>
      </c>
      <c r="D411" t="str">
        <f>"lesní pozemek"</f>
        <v>lesní pozemek</v>
      </c>
      <c r="E411" t="str">
        <f>""</f>
        <v/>
      </c>
      <c r="F411" t="str">
        <f>"10001"</f>
        <v>10001</v>
      </c>
      <c r="G411" t="str">
        <f>"Statutární město Karviná"</f>
        <v>Statutární město Karviná</v>
      </c>
      <c r="H411" t="str">
        <f>"297534"</f>
        <v>297534</v>
      </c>
      <c r="I411" t="str">
        <f>"jiná právnická osoba (vč. obce a kraje)"</f>
        <v>jiná právnická osoba (vč. obce a kraje)</v>
      </c>
      <c r="J411" t="str">
        <f>"OPO"</f>
        <v>OPO</v>
      </c>
      <c r="K411" t="str">
        <f>"1"</f>
        <v>1</v>
      </c>
      <c r="L411" t="str">
        <f>"Vlastnické právo"</f>
        <v>Vlastnické právo</v>
      </c>
    </row>
    <row r="412" spans="1:12" x14ac:dyDescent="0.25">
      <c r="A412" t="str">
        <f>"Darkov"</f>
        <v>Darkov</v>
      </c>
      <c r="B412" t="str">
        <f>"1088"</f>
        <v>1088</v>
      </c>
      <c r="C412" t="str">
        <f>"3488"</f>
        <v>3488</v>
      </c>
      <c r="D412" t="str">
        <f>"lesní pozemek"</f>
        <v>lesní pozemek</v>
      </c>
      <c r="E412" t="str">
        <f>"les jiný než hospodářský"</f>
        <v>les jiný než hospodářský</v>
      </c>
      <c r="F412" t="str">
        <f>"10001"</f>
        <v>10001</v>
      </c>
      <c r="G412" t="str">
        <f>"Statutární město Karviná"</f>
        <v>Statutární město Karviná</v>
      </c>
      <c r="H412" t="str">
        <f>"297534"</f>
        <v>297534</v>
      </c>
      <c r="I412" t="str">
        <f>"jiná právnická osoba (vč. obce a kraje)"</f>
        <v>jiná právnická osoba (vč. obce a kraje)</v>
      </c>
      <c r="J412" t="str">
        <f>"OPO"</f>
        <v>OPO</v>
      </c>
      <c r="K412" t="str">
        <f>"1"</f>
        <v>1</v>
      </c>
      <c r="L412" t="str">
        <f>"Vlastnické právo"</f>
        <v>Vlastnické právo</v>
      </c>
    </row>
    <row r="413" spans="1:12" x14ac:dyDescent="0.25">
      <c r="A413" t="str">
        <f>"Darkov"</f>
        <v>Darkov</v>
      </c>
      <c r="B413" t="str">
        <f>"1092"</f>
        <v>1092</v>
      </c>
      <c r="C413" t="str">
        <f>"783"</f>
        <v>783</v>
      </c>
      <c r="D413" t="str">
        <f>"lesní pozemek"</f>
        <v>lesní pozemek</v>
      </c>
      <c r="E413" t="str">
        <f>"les jiný než hospodářský"</f>
        <v>les jiný než hospodářský</v>
      </c>
      <c r="F413" t="str">
        <f>"10001"</f>
        <v>10001</v>
      </c>
      <c r="G413" t="str">
        <f>"Statutární město Karviná"</f>
        <v>Statutární město Karviná</v>
      </c>
      <c r="H413" t="str">
        <f>"297534"</f>
        <v>297534</v>
      </c>
      <c r="I413" t="str">
        <f>"jiná právnická osoba (vč. obce a kraje)"</f>
        <v>jiná právnická osoba (vč. obce a kraje)</v>
      </c>
      <c r="J413" t="str">
        <f>"OPO"</f>
        <v>OPO</v>
      </c>
      <c r="K413" t="str">
        <f>"1"</f>
        <v>1</v>
      </c>
      <c r="L413" t="str">
        <f>"Vlastnické právo"</f>
        <v>Vlastnické právo</v>
      </c>
    </row>
    <row r="414" spans="1:12" x14ac:dyDescent="0.25">
      <c r="A414" t="str">
        <f>"Darkov"</f>
        <v>Darkov</v>
      </c>
      <c r="B414" t="str">
        <f>"1093/1"</f>
        <v>1093/1</v>
      </c>
      <c r="C414" t="str">
        <f>"1009"</f>
        <v>1009</v>
      </c>
      <c r="D414" t="str">
        <f>"lesní pozemek"</f>
        <v>lesní pozemek</v>
      </c>
      <c r="E414" t="str">
        <f>"les jiný než hospodářský"</f>
        <v>les jiný než hospodářský</v>
      </c>
      <c r="F414" t="str">
        <f>"10001"</f>
        <v>10001</v>
      </c>
      <c r="G414" t="str">
        <f>"Statutární město Karviná"</f>
        <v>Statutární město Karviná</v>
      </c>
      <c r="H414" t="str">
        <f>"297534"</f>
        <v>297534</v>
      </c>
      <c r="I414" t="str">
        <f>"jiná právnická osoba (vč. obce a kraje)"</f>
        <v>jiná právnická osoba (vč. obce a kraje)</v>
      </c>
      <c r="J414" t="str">
        <f>"OPO"</f>
        <v>OPO</v>
      </c>
      <c r="K414" t="str">
        <f>"1"</f>
        <v>1</v>
      </c>
      <c r="L414" t="str">
        <f>"Vlastnické právo"</f>
        <v>Vlastnické právo</v>
      </c>
    </row>
    <row r="415" spans="1:12" x14ac:dyDescent="0.25">
      <c r="A415" t="str">
        <f>"Darkov"</f>
        <v>Darkov</v>
      </c>
      <c r="B415" t="str">
        <f>"1093/2"</f>
        <v>1093/2</v>
      </c>
      <c r="C415" t="str">
        <f>"342"</f>
        <v>342</v>
      </c>
      <c r="D415" t="str">
        <f>"lesní pozemek"</f>
        <v>lesní pozemek</v>
      </c>
      <c r="E415" t="str">
        <f>"les jiný než hospodářský"</f>
        <v>les jiný než hospodářský</v>
      </c>
      <c r="F415" t="str">
        <f>"10001"</f>
        <v>10001</v>
      </c>
      <c r="G415" t="str">
        <f>"Statutární město Karviná"</f>
        <v>Statutární město Karviná</v>
      </c>
      <c r="H415" t="str">
        <f>"297534"</f>
        <v>297534</v>
      </c>
      <c r="I415" t="str">
        <f>"jiná právnická osoba (vč. obce a kraje)"</f>
        <v>jiná právnická osoba (vč. obce a kraje)</v>
      </c>
      <c r="J415" t="str">
        <f>"OPO"</f>
        <v>OPO</v>
      </c>
      <c r="K415" t="str">
        <f>"1"</f>
        <v>1</v>
      </c>
      <c r="L415" t="str">
        <f>"Vlastnické právo"</f>
        <v>Vlastnické právo</v>
      </c>
    </row>
    <row r="416" spans="1:12" x14ac:dyDescent="0.25">
      <c r="A416" t="str">
        <f>"Darkov"</f>
        <v>Darkov</v>
      </c>
      <c r="B416" t="str">
        <f>"1094"</f>
        <v>1094</v>
      </c>
      <c r="C416" t="str">
        <f>"264"</f>
        <v>264</v>
      </c>
      <c r="D416" t="str">
        <f>"lesní pozemek"</f>
        <v>lesní pozemek</v>
      </c>
      <c r="E416" t="str">
        <f>"les jiný než hospodářský"</f>
        <v>les jiný než hospodářský</v>
      </c>
      <c r="F416" t="str">
        <f>"10001"</f>
        <v>10001</v>
      </c>
      <c r="G416" t="str">
        <f>"Statutární město Karviná"</f>
        <v>Statutární město Karviná</v>
      </c>
      <c r="H416" t="str">
        <f>"297534"</f>
        <v>297534</v>
      </c>
      <c r="I416" t="str">
        <f>"jiná právnická osoba (vč. obce a kraje)"</f>
        <v>jiná právnická osoba (vč. obce a kraje)</v>
      </c>
      <c r="J416" t="str">
        <f>"OPO"</f>
        <v>OPO</v>
      </c>
      <c r="K416" t="str">
        <f>"1"</f>
        <v>1</v>
      </c>
      <c r="L416" t="str">
        <f>"Vlastnické právo"</f>
        <v>Vlastnické právo</v>
      </c>
    </row>
    <row r="417" spans="1:12" x14ac:dyDescent="0.25">
      <c r="A417" t="str">
        <f>"Darkov"</f>
        <v>Darkov</v>
      </c>
      <c r="B417" t="str">
        <f>"1095"</f>
        <v>1095</v>
      </c>
      <c r="C417" t="str">
        <f>"749"</f>
        <v>749</v>
      </c>
      <c r="D417" t="str">
        <f>"lesní pozemek"</f>
        <v>lesní pozemek</v>
      </c>
      <c r="E417" t="str">
        <f>"les jiný než hospodářský"</f>
        <v>les jiný než hospodářský</v>
      </c>
      <c r="F417" t="str">
        <f>"10001"</f>
        <v>10001</v>
      </c>
      <c r="G417" t="str">
        <f>"Statutární město Karviná"</f>
        <v>Statutární město Karviná</v>
      </c>
      <c r="H417" t="str">
        <f>"297534"</f>
        <v>297534</v>
      </c>
      <c r="I417" t="str">
        <f>"jiná právnická osoba (vč. obce a kraje)"</f>
        <v>jiná právnická osoba (vč. obce a kraje)</v>
      </c>
      <c r="J417" t="str">
        <f>"OPO"</f>
        <v>OPO</v>
      </c>
      <c r="K417" t="str">
        <f>"1"</f>
        <v>1</v>
      </c>
      <c r="L417" t="str">
        <f>"Vlastnické právo"</f>
        <v>Vlastnické právo</v>
      </c>
    </row>
    <row r="418" spans="1:12" x14ac:dyDescent="0.25">
      <c r="A418" t="str">
        <f>"Darkov"</f>
        <v>Darkov</v>
      </c>
      <c r="B418" t="str">
        <f>"1096/1"</f>
        <v>1096/1</v>
      </c>
      <c r="C418" t="str">
        <f>"254"</f>
        <v>254</v>
      </c>
      <c r="D418" t="str">
        <f>"lesní pozemek"</f>
        <v>lesní pozemek</v>
      </c>
      <c r="E418" t="str">
        <f>"les jiný než hospodářský"</f>
        <v>les jiný než hospodářský</v>
      </c>
      <c r="F418" t="str">
        <f>"10001"</f>
        <v>10001</v>
      </c>
      <c r="G418" t="str">
        <f>"Statutární město Karviná"</f>
        <v>Statutární město Karviná</v>
      </c>
      <c r="H418" t="str">
        <f>"297534"</f>
        <v>297534</v>
      </c>
      <c r="I418" t="str">
        <f>"jiná právnická osoba (vč. obce a kraje)"</f>
        <v>jiná právnická osoba (vč. obce a kraje)</v>
      </c>
      <c r="J418" t="str">
        <f>"OPO"</f>
        <v>OPO</v>
      </c>
      <c r="K418" t="str">
        <f>"1"</f>
        <v>1</v>
      </c>
      <c r="L418" t="str">
        <f>"Vlastnické právo"</f>
        <v>Vlastnické právo</v>
      </c>
    </row>
    <row r="419" spans="1:12" x14ac:dyDescent="0.25">
      <c r="A419" t="str">
        <f>"Darkov"</f>
        <v>Darkov</v>
      </c>
      <c r="B419" t="str">
        <f>"1096/2"</f>
        <v>1096/2</v>
      </c>
      <c r="C419" t="str">
        <f>"31"</f>
        <v>31</v>
      </c>
      <c r="D419" t="str">
        <f>"lesní pozemek"</f>
        <v>lesní pozemek</v>
      </c>
      <c r="E419" t="str">
        <f>"les jiný než hospodářský"</f>
        <v>les jiný než hospodářský</v>
      </c>
      <c r="F419" t="str">
        <f>"10001"</f>
        <v>10001</v>
      </c>
      <c r="G419" t="str">
        <f>"Statutární město Karviná"</f>
        <v>Statutární město Karviná</v>
      </c>
      <c r="H419" t="str">
        <f>"297534"</f>
        <v>297534</v>
      </c>
      <c r="I419" t="str">
        <f>"jiná právnická osoba (vč. obce a kraje)"</f>
        <v>jiná právnická osoba (vč. obce a kraje)</v>
      </c>
      <c r="J419" t="str">
        <f>"OPO"</f>
        <v>OPO</v>
      </c>
      <c r="K419" t="str">
        <f>"1"</f>
        <v>1</v>
      </c>
      <c r="L419" t="str">
        <f>"Vlastnické právo"</f>
        <v>Vlastnické právo</v>
      </c>
    </row>
    <row r="420" spans="1:12" x14ac:dyDescent="0.25">
      <c r="A420" t="str">
        <f>"Darkov"</f>
        <v>Darkov</v>
      </c>
      <c r="B420" t="str">
        <f>"1097"</f>
        <v>1097</v>
      </c>
      <c r="C420" t="str">
        <f>"889"</f>
        <v>889</v>
      </c>
      <c r="D420" t="str">
        <f>"lesní pozemek"</f>
        <v>lesní pozemek</v>
      </c>
      <c r="E420" t="str">
        <f>"les jiný než hospodářský"</f>
        <v>les jiný než hospodářský</v>
      </c>
      <c r="F420" t="str">
        <f>"10001"</f>
        <v>10001</v>
      </c>
      <c r="G420" t="str">
        <f>"Statutární město Karviná"</f>
        <v>Statutární město Karviná</v>
      </c>
      <c r="H420" t="str">
        <f>"297534"</f>
        <v>297534</v>
      </c>
      <c r="I420" t="str">
        <f>"jiná právnická osoba (vč. obce a kraje)"</f>
        <v>jiná právnická osoba (vč. obce a kraje)</v>
      </c>
      <c r="J420" t="str">
        <f>"OPO"</f>
        <v>OPO</v>
      </c>
      <c r="K420" t="str">
        <f>"1"</f>
        <v>1</v>
      </c>
      <c r="L420" t="str">
        <f>"Vlastnické právo"</f>
        <v>Vlastnické právo</v>
      </c>
    </row>
    <row r="421" spans="1:12" x14ac:dyDescent="0.25">
      <c r="A421" t="str">
        <f>"Darkov"</f>
        <v>Darkov</v>
      </c>
      <c r="B421" t="str">
        <f>"1098"</f>
        <v>1098</v>
      </c>
      <c r="C421" t="str">
        <f>"367"</f>
        <v>367</v>
      </c>
      <c r="D421" t="str">
        <f>"lesní pozemek"</f>
        <v>lesní pozemek</v>
      </c>
      <c r="E421" t="str">
        <f>"les jiný než hospodářský"</f>
        <v>les jiný než hospodářský</v>
      </c>
      <c r="F421" t="str">
        <f>"10001"</f>
        <v>10001</v>
      </c>
      <c r="G421" t="str">
        <f>"Statutární město Karviná"</f>
        <v>Statutární město Karviná</v>
      </c>
      <c r="H421" t="str">
        <f>"297534"</f>
        <v>297534</v>
      </c>
      <c r="I421" t="str">
        <f>"jiná právnická osoba (vč. obce a kraje)"</f>
        <v>jiná právnická osoba (vč. obce a kraje)</v>
      </c>
      <c r="J421" t="str">
        <f>"OPO"</f>
        <v>OPO</v>
      </c>
      <c r="K421" t="str">
        <f>"1"</f>
        <v>1</v>
      </c>
      <c r="L421" t="str">
        <f>"Vlastnické právo"</f>
        <v>Vlastnické právo</v>
      </c>
    </row>
    <row r="422" spans="1:12" x14ac:dyDescent="0.25">
      <c r="A422" t="str">
        <f>"Darkov"</f>
        <v>Darkov</v>
      </c>
      <c r="B422" t="str">
        <f>"1104"</f>
        <v>1104</v>
      </c>
      <c r="C422" t="str">
        <f>"1778"</f>
        <v>1778</v>
      </c>
      <c r="D422" t="str">
        <f>"lesní pozemek"</f>
        <v>lesní pozemek</v>
      </c>
      <c r="E422" t="str">
        <f>"les jiný než hospodářský"</f>
        <v>les jiný než hospodářský</v>
      </c>
      <c r="F422" t="str">
        <f>"10001"</f>
        <v>10001</v>
      </c>
      <c r="G422" t="str">
        <f>"Statutární město Karviná"</f>
        <v>Statutární město Karviná</v>
      </c>
      <c r="H422" t="str">
        <f>"297534"</f>
        <v>297534</v>
      </c>
      <c r="I422" t="str">
        <f>"jiná právnická osoba (vč. obce a kraje)"</f>
        <v>jiná právnická osoba (vč. obce a kraje)</v>
      </c>
      <c r="J422" t="str">
        <f>"OPO"</f>
        <v>OPO</v>
      </c>
      <c r="K422" t="str">
        <f>"1"</f>
        <v>1</v>
      </c>
      <c r="L422" t="str">
        <f>"Vlastnické právo"</f>
        <v>Vlastnické právo</v>
      </c>
    </row>
    <row r="423" spans="1:12" x14ac:dyDescent="0.25">
      <c r="A423" t="str">
        <f>"Darkov"</f>
        <v>Darkov</v>
      </c>
      <c r="B423" t="str">
        <f>"1105"</f>
        <v>1105</v>
      </c>
      <c r="C423" t="str">
        <f>"144"</f>
        <v>144</v>
      </c>
      <c r="D423" t="str">
        <f>"lesní pozemek"</f>
        <v>lesní pozemek</v>
      </c>
      <c r="E423" t="str">
        <f>"les jiný než hospodářský"</f>
        <v>les jiný než hospodářský</v>
      </c>
      <c r="F423" t="str">
        <f>"10001"</f>
        <v>10001</v>
      </c>
      <c r="G423" t="str">
        <f>"Statutární město Karviná"</f>
        <v>Statutární město Karviná</v>
      </c>
      <c r="H423" t="str">
        <f>"297534"</f>
        <v>297534</v>
      </c>
      <c r="I423" t="str">
        <f>"jiná právnická osoba (vč. obce a kraje)"</f>
        <v>jiná právnická osoba (vč. obce a kraje)</v>
      </c>
      <c r="J423" t="str">
        <f>"OPO"</f>
        <v>OPO</v>
      </c>
      <c r="K423" t="str">
        <f>"1"</f>
        <v>1</v>
      </c>
      <c r="L423" t="str">
        <f>"Vlastnické právo"</f>
        <v>Vlastnické právo</v>
      </c>
    </row>
    <row r="424" spans="1:12" x14ac:dyDescent="0.25">
      <c r="A424" t="str">
        <f>"Darkov"</f>
        <v>Darkov</v>
      </c>
      <c r="B424" t="str">
        <f>"1106/1"</f>
        <v>1106/1</v>
      </c>
      <c r="C424" t="str">
        <f>"1069"</f>
        <v>1069</v>
      </c>
      <c r="D424" t="str">
        <f>"lesní pozemek"</f>
        <v>lesní pozemek</v>
      </c>
      <c r="E424" t="str">
        <f>"les jiný než hospodářský"</f>
        <v>les jiný než hospodářský</v>
      </c>
      <c r="F424" t="str">
        <f>"10001"</f>
        <v>10001</v>
      </c>
      <c r="G424" t="str">
        <f>"Statutární město Karviná"</f>
        <v>Statutární město Karviná</v>
      </c>
      <c r="H424" t="str">
        <f>"297534"</f>
        <v>297534</v>
      </c>
      <c r="I424" t="str">
        <f>"jiná právnická osoba (vč. obce a kraje)"</f>
        <v>jiná právnická osoba (vč. obce a kraje)</v>
      </c>
      <c r="J424" t="str">
        <f>"OPO"</f>
        <v>OPO</v>
      </c>
      <c r="K424" t="str">
        <f>"1"</f>
        <v>1</v>
      </c>
      <c r="L424" t="str">
        <f>"Vlastnické právo"</f>
        <v>Vlastnické právo</v>
      </c>
    </row>
    <row r="425" spans="1:12" x14ac:dyDescent="0.25">
      <c r="A425" t="str">
        <f>"Darkov"</f>
        <v>Darkov</v>
      </c>
      <c r="B425" t="str">
        <f>"1106/2"</f>
        <v>1106/2</v>
      </c>
      <c r="C425" t="str">
        <f>"33"</f>
        <v>33</v>
      </c>
      <c r="D425" t="str">
        <f>"lesní pozemek"</f>
        <v>lesní pozemek</v>
      </c>
      <c r="E425" t="str">
        <f>"les jiný než hospodářský"</f>
        <v>les jiný než hospodářský</v>
      </c>
      <c r="F425" t="str">
        <f>"10001"</f>
        <v>10001</v>
      </c>
      <c r="G425" t="str">
        <f>"Statutární město Karviná"</f>
        <v>Statutární město Karviná</v>
      </c>
      <c r="H425" t="str">
        <f>"297534"</f>
        <v>297534</v>
      </c>
      <c r="I425" t="str">
        <f>"jiná právnická osoba (vč. obce a kraje)"</f>
        <v>jiná právnická osoba (vč. obce a kraje)</v>
      </c>
      <c r="J425" t="str">
        <f>"OPO"</f>
        <v>OPO</v>
      </c>
      <c r="K425" t="str">
        <f>"1"</f>
        <v>1</v>
      </c>
      <c r="L425" t="str">
        <f>"Vlastnické právo"</f>
        <v>Vlastnické právo</v>
      </c>
    </row>
    <row r="426" spans="1:12" x14ac:dyDescent="0.25">
      <c r="A426" t="str">
        <f>"Darkov"</f>
        <v>Darkov</v>
      </c>
      <c r="B426" t="str">
        <f>"1106/3"</f>
        <v>1106/3</v>
      </c>
      <c r="C426" t="str">
        <f>"28"</f>
        <v>28</v>
      </c>
      <c r="D426" t="str">
        <f>"lesní pozemek"</f>
        <v>lesní pozemek</v>
      </c>
      <c r="E426" t="str">
        <f>"les jiný než hospodářský"</f>
        <v>les jiný než hospodářský</v>
      </c>
      <c r="F426" t="str">
        <f>"10001"</f>
        <v>10001</v>
      </c>
      <c r="G426" t="str">
        <f>"Statutární město Karviná"</f>
        <v>Statutární město Karviná</v>
      </c>
      <c r="H426" t="str">
        <f>"297534"</f>
        <v>297534</v>
      </c>
      <c r="I426" t="str">
        <f>"jiná právnická osoba (vč. obce a kraje)"</f>
        <v>jiná právnická osoba (vč. obce a kraje)</v>
      </c>
      <c r="J426" t="str">
        <f>"OPO"</f>
        <v>OPO</v>
      </c>
      <c r="K426" t="str">
        <f>"1"</f>
        <v>1</v>
      </c>
      <c r="L426" t="str">
        <f>"Vlastnické právo"</f>
        <v>Vlastnické právo</v>
      </c>
    </row>
    <row r="427" spans="1:12" x14ac:dyDescent="0.25">
      <c r="A427" t="str">
        <f>"Darkov"</f>
        <v>Darkov</v>
      </c>
      <c r="B427" t="str">
        <f>"1107"</f>
        <v>1107</v>
      </c>
      <c r="C427" t="str">
        <f>"1407"</f>
        <v>1407</v>
      </c>
      <c r="D427" t="str">
        <f>"lesní pozemek"</f>
        <v>lesní pozemek</v>
      </c>
      <c r="E427" t="str">
        <f>"les jiný než hospodářský"</f>
        <v>les jiný než hospodářský</v>
      </c>
      <c r="F427" t="str">
        <f>"10001"</f>
        <v>10001</v>
      </c>
      <c r="G427" t="str">
        <f>"Statutární město Karviná"</f>
        <v>Statutární město Karviná</v>
      </c>
      <c r="H427" t="str">
        <f>"297534"</f>
        <v>297534</v>
      </c>
      <c r="I427" t="str">
        <f>"jiná právnická osoba (vč. obce a kraje)"</f>
        <v>jiná právnická osoba (vč. obce a kraje)</v>
      </c>
      <c r="J427" t="str">
        <f>"OPO"</f>
        <v>OPO</v>
      </c>
      <c r="K427" t="str">
        <f>"1"</f>
        <v>1</v>
      </c>
      <c r="L427" t="str">
        <f>"Vlastnické právo"</f>
        <v>Vlastnické právo</v>
      </c>
    </row>
    <row r="428" spans="1:12" x14ac:dyDescent="0.25">
      <c r="A428" t="str">
        <f>"Darkov"</f>
        <v>Darkov</v>
      </c>
      <c r="B428" t="str">
        <f>"1108/1"</f>
        <v>1108/1</v>
      </c>
      <c r="C428" t="str">
        <f>"2621"</f>
        <v>2621</v>
      </c>
      <c r="D428" t="str">
        <f>"lesní pozemek"</f>
        <v>lesní pozemek</v>
      </c>
      <c r="E428" t="str">
        <f>"les jiný než hospodářský"</f>
        <v>les jiný než hospodářský</v>
      </c>
      <c r="F428" t="str">
        <f>"10001"</f>
        <v>10001</v>
      </c>
      <c r="G428" t="str">
        <f>"Statutární město Karviná"</f>
        <v>Statutární město Karviná</v>
      </c>
      <c r="H428" t="str">
        <f>"297534"</f>
        <v>297534</v>
      </c>
      <c r="I428" t="str">
        <f>"jiná právnická osoba (vč. obce a kraje)"</f>
        <v>jiná právnická osoba (vč. obce a kraje)</v>
      </c>
      <c r="J428" t="str">
        <f>"OPO"</f>
        <v>OPO</v>
      </c>
      <c r="K428" t="str">
        <f>"1"</f>
        <v>1</v>
      </c>
      <c r="L428" t="str">
        <f>"Vlastnické právo"</f>
        <v>Vlastnické právo</v>
      </c>
    </row>
    <row r="429" spans="1:12" x14ac:dyDescent="0.25">
      <c r="A429" t="str">
        <f>"Darkov"</f>
        <v>Darkov</v>
      </c>
      <c r="B429" t="str">
        <f>"1108/2"</f>
        <v>1108/2</v>
      </c>
      <c r="C429" t="str">
        <f>"332"</f>
        <v>332</v>
      </c>
      <c r="D429" t="str">
        <f>"lesní pozemek"</f>
        <v>lesní pozemek</v>
      </c>
      <c r="E429" t="str">
        <f>"les jiný než hospodářský"</f>
        <v>les jiný než hospodářský</v>
      </c>
      <c r="F429" t="str">
        <f>"10001"</f>
        <v>10001</v>
      </c>
      <c r="G429" t="str">
        <f>"Statutární město Karviná"</f>
        <v>Statutární město Karviná</v>
      </c>
      <c r="H429" t="str">
        <f>"297534"</f>
        <v>297534</v>
      </c>
      <c r="I429" t="str">
        <f>"jiná právnická osoba (vč. obce a kraje)"</f>
        <v>jiná právnická osoba (vč. obce a kraje)</v>
      </c>
      <c r="J429" t="str">
        <f>"OPO"</f>
        <v>OPO</v>
      </c>
      <c r="K429" t="str">
        <f>"1"</f>
        <v>1</v>
      </c>
      <c r="L429" t="str">
        <f>"Vlastnické právo"</f>
        <v>Vlastnické právo</v>
      </c>
    </row>
    <row r="430" spans="1:12" x14ac:dyDescent="0.25">
      <c r="A430" t="str">
        <f>"Darkov"</f>
        <v>Darkov</v>
      </c>
      <c r="B430" t="str">
        <f>"1108/3"</f>
        <v>1108/3</v>
      </c>
      <c r="C430" t="str">
        <f>"815"</f>
        <v>815</v>
      </c>
      <c r="D430" t="str">
        <f>"lesní pozemek"</f>
        <v>lesní pozemek</v>
      </c>
      <c r="E430" t="str">
        <f>"les jiný než hospodářský"</f>
        <v>les jiný než hospodářský</v>
      </c>
      <c r="F430" t="str">
        <f>"10001"</f>
        <v>10001</v>
      </c>
      <c r="G430" t="str">
        <f>"Statutární město Karviná"</f>
        <v>Statutární město Karviná</v>
      </c>
      <c r="H430" t="str">
        <f>"297534"</f>
        <v>297534</v>
      </c>
      <c r="I430" t="str">
        <f>"jiná právnická osoba (vč. obce a kraje)"</f>
        <v>jiná právnická osoba (vč. obce a kraje)</v>
      </c>
      <c r="J430" t="str">
        <f>"OPO"</f>
        <v>OPO</v>
      </c>
      <c r="K430" t="str">
        <f>"1"</f>
        <v>1</v>
      </c>
      <c r="L430" t="str">
        <f>"Vlastnické právo"</f>
        <v>Vlastnické právo</v>
      </c>
    </row>
    <row r="431" spans="1:12" x14ac:dyDescent="0.25">
      <c r="A431" t="str">
        <f>"Darkov"</f>
        <v>Darkov</v>
      </c>
      <c r="B431" t="str">
        <f>"1108/4"</f>
        <v>1108/4</v>
      </c>
      <c r="C431" t="str">
        <f>"159"</f>
        <v>159</v>
      </c>
      <c r="D431" t="str">
        <f>"lesní pozemek"</f>
        <v>lesní pozemek</v>
      </c>
      <c r="E431" t="str">
        <f>"les jiný než hospodářský"</f>
        <v>les jiný než hospodářský</v>
      </c>
      <c r="F431" t="str">
        <f>"10001"</f>
        <v>10001</v>
      </c>
      <c r="G431" t="str">
        <f>"Statutární město Karviná"</f>
        <v>Statutární město Karviná</v>
      </c>
      <c r="H431" t="str">
        <f>"297534"</f>
        <v>297534</v>
      </c>
      <c r="I431" t="str">
        <f>"jiná právnická osoba (vč. obce a kraje)"</f>
        <v>jiná právnická osoba (vč. obce a kraje)</v>
      </c>
      <c r="J431" t="str">
        <f>"OPO"</f>
        <v>OPO</v>
      </c>
      <c r="K431" t="str">
        <f>"1"</f>
        <v>1</v>
      </c>
      <c r="L431" t="str">
        <f>"Vlastnické právo"</f>
        <v>Vlastnické právo</v>
      </c>
    </row>
    <row r="432" spans="1:12" x14ac:dyDescent="0.25">
      <c r="A432" t="str">
        <f>"Darkov"</f>
        <v>Darkov</v>
      </c>
      <c r="B432" t="str">
        <f>"1112/4"</f>
        <v>1112/4</v>
      </c>
      <c r="C432" t="str">
        <f>"1738"</f>
        <v>1738</v>
      </c>
      <c r="D432" t="str">
        <f>"lesní pozemek"</f>
        <v>lesní pozemek</v>
      </c>
      <c r="E432" t="str">
        <f>"les jiný než hospodářský"</f>
        <v>les jiný než hospodářský</v>
      </c>
      <c r="F432" t="str">
        <f>"10001"</f>
        <v>10001</v>
      </c>
      <c r="G432" t="str">
        <f>"Statutární město Karviná"</f>
        <v>Statutární město Karviná</v>
      </c>
      <c r="H432" t="str">
        <f>"297534"</f>
        <v>297534</v>
      </c>
      <c r="I432" t="str">
        <f>"jiná právnická osoba (vč. obce a kraje)"</f>
        <v>jiná právnická osoba (vč. obce a kraje)</v>
      </c>
      <c r="J432" t="str">
        <f>"OPO"</f>
        <v>OPO</v>
      </c>
      <c r="K432" t="str">
        <f>"1"</f>
        <v>1</v>
      </c>
      <c r="L432" t="str">
        <f>"Vlastnické právo"</f>
        <v>Vlastnické právo</v>
      </c>
    </row>
    <row r="433" spans="1:12" x14ac:dyDescent="0.25">
      <c r="A433" t="str">
        <f>"Darkov"</f>
        <v>Darkov</v>
      </c>
      <c r="B433" t="str">
        <f>"1112/5"</f>
        <v>1112/5</v>
      </c>
      <c r="C433" t="str">
        <f>"2076"</f>
        <v>2076</v>
      </c>
      <c r="D433" t="str">
        <f>"lesní pozemek"</f>
        <v>lesní pozemek</v>
      </c>
      <c r="E433" t="str">
        <f>"les jiný než hospodářský"</f>
        <v>les jiný než hospodářský</v>
      </c>
      <c r="F433" t="str">
        <f>"10001"</f>
        <v>10001</v>
      </c>
      <c r="G433" t="str">
        <f>"Statutární město Karviná"</f>
        <v>Statutární město Karviná</v>
      </c>
      <c r="H433" t="str">
        <f>"297534"</f>
        <v>297534</v>
      </c>
      <c r="I433" t="str">
        <f>"jiná právnická osoba (vč. obce a kraje)"</f>
        <v>jiná právnická osoba (vč. obce a kraje)</v>
      </c>
      <c r="J433" t="str">
        <f>"OPO"</f>
        <v>OPO</v>
      </c>
      <c r="K433" t="str">
        <f>"1"</f>
        <v>1</v>
      </c>
      <c r="L433" t="str">
        <f>"Vlastnické právo"</f>
        <v>Vlastnické právo</v>
      </c>
    </row>
    <row r="434" spans="1:12" x14ac:dyDescent="0.25">
      <c r="A434" t="str">
        <f>"Darkov"</f>
        <v>Darkov</v>
      </c>
      <c r="B434" t="str">
        <f>"1112/6"</f>
        <v>1112/6</v>
      </c>
      <c r="C434" t="str">
        <f>"2502"</f>
        <v>2502</v>
      </c>
      <c r="D434" t="str">
        <f>"lesní pozemek"</f>
        <v>lesní pozemek</v>
      </c>
      <c r="E434" t="str">
        <f>"les jiný než hospodářský"</f>
        <v>les jiný než hospodářský</v>
      </c>
      <c r="F434" t="str">
        <f>"10001"</f>
        <v>10001</v>
      </c>
      <c r="G434" t="str">
        <f>"Statutární město Karviná"</f>
        <v>Statutární město Karviná</v>
      </c>
      <c r="H434" t="str">
        <f>"297534"</f>
        <v>297534</v>
      </c>
      <c r="I434" t="str">
        <f>"jiná právnická osoba (vč. obce a kraje)"</f>
        <v>jiná právnická osoba (vč. obce a kraje)</v>
      </c>
      <c r="J434" t="str">
        <f>"OPO"</f>
        <v>OPO</v>
      </c>
      <c r="K434" t="str">
        <f>"1"</f>
        <v>1</v>
      </c>
      <c r="L434" t="str">
        <f>"Vlastnické právo"</f>
        <v>Vlastnické právo</v>
      </c>
    </row>
    <row r="435" spans="1:12" x14ac:dyDescent="0.25">
      <c r="A435" t="str">
        <f>"Darkov"</f>
        <v>Darkov</v>
      </c>
      <c r="B435" t="str">
        <f>"1112/7"</f>
        <v>1112/7</v>
      </c>
      <c r="C435" t="str">
        <f>"2532"</f>
        <v>2532</v>
      </c>
      <c r="D435" t="str">
        <f>"lesní pozemek"</f>
        <v>lesní pozemek</v>
      </c>
      <c r="E435" t="str">
        <f>"les jiný než hospodářský"</f>
        <v>les jiný než hospodářský</v>
      </c>
      <c r="F435" t="str">
        <f>"10001"</f>
        <v>10001</v>
      </c>
      <c r="G435" t="str">
        <f>"Statutární město Karviná"</f>
        <v>Statutární město Karviná</v>
      </c>
      <c r="H435" t="str">
        <f>"297534"</f>
        <v>297534</v>
      </c>
      <c r="I435" t="str">
        <f>"jiná právnická osoba (vč. obce a kraje)"</f>
        <v>jiná právnická osoba (vč. obce a kraje)</v>
      </c>
      <c r="J435" t="str">
        <f>"OPO"</f>
        <v>OPO</v>
      </c>
      <c r="K435" t="str">
        <f>"1"</f>
        <v>1</v>
      </c>
      <c r="L435" t="str">
        <f>"Vlastnické právo"</f>
        <v>Vlastnické právo</v>
      </c>
    </row>
    <row r="436" spans="1:12" x14ac:dyDescent="0.25">
      <c r="A436" t="str">
        <f>"Darkov"</f>
        <v>Darkov</v>
      </c>
      <c r="B436" t="str">
        <f>"1112/8"</f>
        <v>1112/8</v>
      </c>
      <c r="C436" t="str">
        <f>"2510"</f>
        <v>2510</v>
      </c>
      <c r="D436" t="str">
        <f>"lesní pozemek"</f>
        <v>lesní pozemek</v>
      </c>
      <c r="E436" t="str">
        <f>"les jiný než hospodářský"</f>
        <v>les jiný než hospodářský</v>
      </c>
      <c r="F436" t="str">
        <f>"10001"</f>
        <v>10001</v>
      </c>
      <c r="G436" t="str">
        <f>"Statutární město Karviná"</f>
        <v>Statutární město Karviná</v>
      </c>
      <c r="H436" t="str">
        <f>"297534"</f>
        <v>297534</v>
      </c>
      <c r="I436" t="str">
        <f>"jiná právnická osoba (vč. obce a kraje)"</f>
        <v>jiná právnická osoba (vč. obce a kraje)</v>
      </c>
      <c r="J436" t="str">
        <f>"OPO"</f>
        <v>OPO</v>
      </c>
      <c r="K436" t="str">
        <f>"1"</f>
        <v>1</v>
      </c>
      <c r="L436" t="str">
        <f>"Vlastnické právo"</f>
        <v>Vlastnické právo</v>
      </c>
    </row>
    <row r="437" spans="1:12" x14ac:dyDescent="0.25">
      <c r="A437" t="str">
        <f>"Darkov"</f>
        <v>Darkov</v>
      </c>
      <c r="B437" t="str">
        <f>"1112/9"</f>
        <v>1112/9</v>
      </c>
      <c r="C437" t="str">
        <f>"2504"</f>
        <v>2504</v>
      </c>
      <c r="D437" t="str">
        <f>"lesní pozemek"</f>
        <v>lesní pozemek</v>
      </c>
      <c r="E437" t="str">
        <f>"les jiný než hospodářský"</f>
        <v>les jiný než hospodářský</v>
      </c>
      <c r="F437" t="str">
        <f>"10001"</f>
        <v>10001</v>
      </c>
      <c r="G437" t="str">
        <f>"Statutární město Karviná"</f>
        <v>Statutární město Karviná</v>
      </c>
      <c r="H437" t="str">
        <f>"297534"</f>
        <v>297534</v>
      </c>
      <c r="I437" t="str">
        <f>"jiná právnická osoba (vč. obce a kraje)"</f>
        <v>jiná právnická osoba (vč. obce a kraje)</v>
      </c>
      <c r="J437" t="str">
        <f>"OPO"</f>
        <v>OPO</v>
      </c>
      <c r="K437" t="str">
        <f>"1"</f>
        <v>1</v>
      </c>
      <c r="L437" t="str">
        <f>"Vlastnické právo"</f>
        <v>Vlastnické právo</v>
      </c>
    </row>
    <row r="438" spans="1:12" x14ac:dyDescent="0.25">
      <c r="A438" t="str">
        <f>"Darkov"</f>
        <v>Darkov</v>
      </c>
      <c r="B438" t="str">
        <f>"1112/10"</f>
        <v>1112/10</v>
      </c>
      <c r="C438" t="str">
        <f>"20672"</f>
        <v>20672</v>
      </c>
      <c r="D438" t="str">
        <f>"lesní pozemek"</f>
        <v>lesní pozemek</v>
      </c>
      <c r="E438" t="str">
        <f>"les jiný než hospodářský"</f>
        <v>les jiný než hospodářský</v>
      </c>
      <c r="F438" t="str">
        <f>"10001"</f>
        <v>10001</v>
      </c>
      <c r="G438" t="str">
        <f>"Statutární město Karviná"</f>
        <v>Statutární město Karviná</v>
      </c>
      <c r="H438" t="str">
        <f>"297534"</f>
        <v>297534</v>
      </c>
      <c r="I438" t="str">
        <f>"jiná právnická osoba (vč. obce a kraje)"</f>
        <v>jiná právnická osoba (vč. obce a kraje)</v>
      </c>
      <c r="J438" t="str">
        <f>"OPO"</f>
        <v>OPO</v>
      </c>
      <c r="K438" t="str">
        <f>"1"</f>
        <v>1</v>
      </c>
      <c r="L438" t="str">
        <f>"Vlastnické právo"</f>
        <v>Vlastnické právo</v>
      </c>
    </row>
    <row r="439" spans="1:12" x14ac:dyDescent="0.25">
      <c r="A439" t="str">
        <f>"Darkov"</f>
        <v>Darkov</v>
      </c>
      <c r="B439" t="str">
        <f>"1112/11"</f>
        <v>1112/11</v>
      </c>
      <c r="C439" t="str">
        <f>"2528"</f>
        <v>2528</v>
      </c>
      <c r="D439" t="str">
        <f>"lesní pozemek"</f>
        <v>lesní pozemek</v>
      </c>
      <c r="E439" t="str">
        <f>"les jiný než hospodářský"</f>
        <v>les jiný než hospodářský</v>
      </c>
      <c r="F439" t="str">
        <f>"10001"</f>
        <v>10001</v>
      </c>
      <c r="G439" t="str">
        <f>"Statutární město Karviná"</f>
        <v>Statutární město Karviná</v>
      </c>
      <c r="H439" t="str">
        <f>"297534"</f>
        <v>297534</v>
      </c>
      <c r="I439" t="str">
        <f>"jiná právnická osoba (vč. obce a kraje)"</f>
        <v>jiná právnická osoba (vč. obce a kraje)</v>
      </c>
      <c r="J439" t="str">
        <f>"OPO"</f>
        <v>OPO</v>
      </c>
      <c r="K439" t="str">
        <f>"1"</f>
        <v>1</v>
      </c>
      <c r="L439" t="str">
        <f>"Vlastnické právo"</f>
        <v>Vlastnické právo</v>
      </c>
    </row>
    <row r="440" spans="1:12" x14ac:dyDescent="0.25">
      <c r="A440" t="str">
        <f>"Darkov"</f>
        <v>Darkov</v>
      </c>
      <c r="B440" t="str">
        <f>"1112/12"</f>
        <v>1112/12</v>
      </c>
      <c r="C440" t="str">
        <f>"2530"</f>
        <v>2530</v>
      </c>
      <c r="D440" t="str">
        <f>"lesní pozemek"</f>
        <v>lesní pozemek</v>
      </c>
      <c r="E440" t="str">
        <f>"les jiný než hospodářský"</f>
        <v>les jiný než hospodářský</v>
      </c>
      <c r="F440" t="str">
        <f>"10001"</f>
        <v>10001</v>
      </c>
      <c r="G440" t="str">
        <f>"Statutární město Karviná"</f>
        <v>Statutární město Karviná</v>
      </c>
      <c r="H440" t="str">
        <f>"297534"</f>
        <v>297534</v>
      </c>
      <c r="I440" t="str">
        <f>"jiná právnická osoba (vč. obce a kraje)"</f>
        <v>jiná právnická osoba (vč. obce a kraje)</v>
      </c>
      <c r="J440" t="str">
        <f>"OPO"</f>
        <v>OPO</v>
      </c>
      <c r="K440" t="str">
        <f>"1"</f>
        <v>1</v>
      </c>
      <c r="L440" t="str">
        <f>"Vlastnické právo"</f>
        <v>Vlastnické právo</v>
      </c>
    </row>
    <row r="441" spans="1:12" x14ac:dyDescent="0.25">
      <c r="A441" t="str">
        <f>"Darkov"</f>
        <v>Darkov</v>
      </c>
      <c r="B441" t="str">
        <f>"1112/13"</f>
        <v>1112/13</v>
      </c>
      <c r="C441" t="str">
        <f>"2995"</f>
        <v>2995</v>
      </c>
      <c r="D441" t="str">
        <f>"lesní pozemek"</f>
        <v>lesní pozemek</v>
      </c>
      <c r="E441" t="str">
        <f>"les jiný než hospodářský"</f>
        <v>les jiný než hospodářský</v>
      </c>
      <c r="F441" t="str">
        <f>"10001"</f>
        <v>10001</v>
      </c>
      <c r="G441" t="str">
        <f>"Statutární město Karviná"</f>
        <v>Statutární město Karviná</v>
      </c>
      <c r="H441" t="str">
        <f>"297534"</f>
        <v>297534</v>
      </c>
      <c r="I441" t="str">
        <f>"jiná právnická osoba (vč. obce a kraje)"</f>
        <v>jiná právnická osoba (vč. obce a kraje)</v>
      </c>
      <c r="J441" t="str">
        <f>"OPO"</f>
        <v>OPO</v>
      </c>
      <c r="K441" t="str">
        <f>"1"</f>
        <v>1</v>
      </c>
      <c r="L441" t="str">
        <f>"Vlastnické právo"</f>
        <v>Vlastnické právo</v>
      </c>
    </row>
    <row r="442" spans="1:12" x14ac:dyDescent="0.25">
      <c r="A442" t="str">
        <f>"Darkov"</f>
        <v>Darkov</v>
      </c>
      <c r="B442" t="str">
        <f>"1112/14"</f>
        <v>1112/14</v>
      </c>
      <c r="C442" t="str">
        <f>"3218"</f>
        <v>3218</v>
      </c>
      <c r="D442" t="str">
        <f>"lesní pozemek"</f>
        <v>lesní pozemek</v>
      </c>
      <c r="E442" t="str">
        <f>"les jiný než hospodářský"</f>
        <v>les jiný než hospodářský</v>
      </c>
      <c r="F442" t="str">
        <f>"10001"</f>
        <v>10001</v>
      </c>
      <c r="G442" t="str">
        <f>"Statutární město Karviná"</f>
        <v>Statutární město Karviná</v>
      </c>
      <c r="H442" t="str">
        <f>"297534"</f>
        <v>297534</v>
      </c>
      <c r="I442" t="str">
        <f>"jiná právnická osoba (vč. obce a kraje)"</f>
        <v>jiná právnická osoba (vč. obce a kraje)</v>
      </c>
      <c r="J442" t="str">
        <f>"OPO"</f>
        <v>OPO</v>
      </c>
      <c r="K442" t="str">
        <f>"1"</f>
        <v>1</v>
      </c>
      <c r="L442" t="str">
        <f>"Vlastnické právo"</f>
        <v>Vlastnické právo</v>
      </c>
    </row>
    <row r="443" spans="1:12" x14ac:dyDescent="0.25">
      <c r="A443" t="str">
        <f>"Darkov"</f>
        <v>Darkov</v>
      </c>
      <c r="B443" t="str">
        <f>"1112/15"</f>
        <v>1112/15</v>
      </c>
      <c r="C443" t="str">
        <f>"11607"</f>
        <v>11607</v>
      </c>
      <c r="D443" t="str">
        <f>"lesní pozemek"</f>
        <v>lesní pozemek</v>
      </c>
      <c r="E443" t="str">
        <f>"les jiný než hospodářský"</f>
        <v>les jiný než hospodářský</v>
      </c>
      <c r="F443" t="str">
        <f>"10001"</f>
        <v>10001</v>
      </c>
      <c r="G443" t="str">
        <f>"Statutární město Karviná"</f>
        <v>Statutární město Karviná</v>
      </c>
      <c r="H443" t="str">
        <f>"297534"</f>
        <v>297534</v>
      </c>
      <c r="I443" t="str">
        <f>"jiná právnická osoba (vč. obce a kraje)"</f>
        <v>jiná právnická osoba (vč. obce a kraje)</v>
      </c>
      <c r="J443" t="str">
        <f>"OPO"</f>
        <v>OPO</v>
      </c>
      <c r="K443" t="str">
        <f>"1"</f>
        <v>1</v>
      </c>
      <c r="L443" t="str">
        <f>"Vlastnické právo"</f>
        <v>Vlastnické právo</v>
      </c>
    </row>
    <row r="444" spans="1:12" x14ac:dyDescent="0.25">
      <c r="A444" t="str">
        <f>"Darkov"</f>
        <v>Darkov</v>
      </c>
      <c r="B444" t="str">
        <f>"1112/16"</f>
        <v>1112/16</v>
      </c>
      <c r="C444" t="str">
        <f>"15084"</f>
        <v>15084</v>
      </c>
      <c r="D444" t="str">
        <f>"lesní pozemek"</f>
        <v>lesní pozemek</v>
      </c>
      <c r="E444" t="str">
        <f>"les jiný než hospodářský"</f>
        <v>les jiný než hospodářský</v>
      </c>
      <c r="F444" t="str">
        <f>"10001"</f>
        <v>10001</v>
      </c>
      <c r="G444" t="str">
        <f>"Statutární město Karviná"</f>
        <v>Statutární město Karviná</v>
      </c>
      <c r="H444" t="str">
        <f>"297534"</f>
        <v>297534</v>
      </c>
      <c r="I444" t="str">
        <f>"jiná právnická osoba (vč. obce a kraje)"</f>
        <v>jiná právnická osoba (vč. obce a kraje)</v>
      </c>
      <c r="J444" t="str">
        <f>"OPO"</f>
        <v>OPO</v>
      </c>
      <c r="K444" t="str">
        <f>"1"</f>
        <v>1</v>
      </c>
      <c r="L444" t="str">
        <f>"Vlastnické právo"</f>
        <v>Vlastnické právo</v>
      </c>
    </row>
    <row r="445" spans="1:12" x14ac:dyDescent="0.25">
      <c r="A445" t="str">
        <f>"Darkov"</f>
        <v>Darkov</v>
      </c>
      <c r="B445" t="str">
        <f>"1112/18"</f>
        <v>1112/18</v>
      </c>
      <c r="C445" t="str">
        <f>"1497"</f>
        <v>1497</v>
      </c>
      <c r="D445" t="str">
        <f>"lesní pozemek"</f>
        <v>lesní pozemek</v>
      </c>
      <c r="E445" t="str">
        <f>"les jiný než hospodářský"</f>
        <v>les jiný než hospodářský</v>
      </c>
      <c r="F445" t="str">
        <f>"10001"</f>
        <v>10001</v>
      </c>
      <c r="G445" t="str">
        <f>"Statutární město Karviná"</f>
        <v>Statutární město Karviná</v>
      </c>
      <c r="H445" t="str">
        <f>"297534"</f>
        <v>297534</v>
      </c>
      <c r="I445" t="str">
        <f>"jiná právnická osoba (vč. obce a kraje)"</f>
        <v>jiná právnická osoba (vč. obce a kraje)</v>
      </c>
      <c r="J445" t="str">
        <f>"OPO"</f>
        <v>OPO</v>
      </c>
      <c r="K445" t="str">
        <f>"1"</f>
        <v>1</v>
      </c>
      <c r="L445" t="str">
        <f>"Vlastnické právo"</f>
        <v>Vlastnické právo</v>
      </c>
    </row>
    <row r="446" spans="1:12" x14ac:dyDescent="0.25">
      <c r="A446" t="str">
        <f>"Darkov"</f>
        <v>Darkov</v>
      </c>
      <c r="B446" t="str">
        <f>"1112/19"</f>
        <v>1112/19</v>
      </c>
      <c r="C446" t="str">
        <f>"25970"</f>
        <v>25970</v>
      </c>
      <c r="D446" t="str">
        <f>"lesní pozemek"</f>
        <v>lesní pozemek</v>
      </c>
      <c r="E446" t="str">
        <f>"les jiný než hospodářský"</f>
        <v>les jiný než hospodářský</v>
      </c>
      <c r="F446" t="str">
        <f>"10001"</f>
        <v>10001</v>
      </c>
      <c r="G446" t="str">
        <f>"Statutární město Karviná"</f>
        <v>Statutární město Karviná</v>
      </c>
      <c r="H446" t="str">
        <f>"297534"</f>
        <v>297534</v>
      </c>
      <c r="I446" t="str">
        <f>"jiná právnická osoba (vč. obce a kraje)"</f>
        <v>jiná právnická osoba (vč. obce a kraje)</v>
      </c>
      <c r="J446" t="str">
        <f>"OPO"</f>
        <v>OPO</v>
      </c>
      <c r="K446" t="str">
        <f>"1"</f>
        <v>1</v>
      </c>
      <c r="L446" t="str">
        <f>"Vlastnické právo"</f>
        <v>Vlastnické právo</v>
      </c>
    </row>
    <row r="447" spans="1:12" x14ac:dyDescent="0.25">
      <c r="A447" t="str">
        <f>"Darkov"</f>
        <v>Darkov</v>
      </c>
      <c r="B447" t="str">
        <f>"1112/20"</f>
        <v>1112/20</v>
      </c>
      <c r="C447" t="str">
        <f>"1903"</f>
        <v>1903</v>
      </c>
      <c r="D447" t="str">
        <f>"lesní pozemek"</f>
        <v>lesní pozemek</v>
      </c>
      <c r="E447" t="str">
        <f>"les jiný než hospodářský"</f>
        <v>les jiný než hospodářský</v>
      </c>
      <c r="F447" t="str">
        <f>"10001"</f>
        <v>10001</v>
      </c>
      <c r="G447" t="str">
        <f>"Statutární město Karviná"</f>
        <v>Statutární město Karviná</v>
      </c>
      <c r="H447" t="str">
        <f>"297534"</f>
        <v>297534</v>
      </c>
      <c r="I447" t="str">
        <f>"jiná právnická osoba (vč. obce a kraje)"</f>
        <v>jiná právnická osoba (vč. obce a kraje)</v>
      </c>
      <c r="J447" t="str">
        <f>"OPO"</f>
        <v>OPO</v>
      </c>
      <c r="K447" t="str">
        <f>"1"</f>
        <v>1</v>
      </c>
      <c r="L447" t="str">
        <f>"Vlastnické právo"</f>
        <v>Vlastnické právo</v>
      </c>
    </row>
    <row r="448" spans="1:12" x14ac:dyDescent="0.25">
      <c r="A448" t="str">
        <f>"Darkov"</f>
        <v>Darkov</v>
      </c>
      <c r="B448" t="str">
        <f>"1112/21"</f>
        <v>1112/21</v>
      </c>
      <c r="C448" t="str">
        <f>"1887"</f>
        <v>1887</v>
      </c>
      <c r="D448" t="str">
        <f>"lesní pozemek"</f>
        <v>lesní pozemek</v>
      </c>
      <c r="E448" t="str">
        <f>"les jiný než hospodářský"</f>
        <v>les jiný než hospodářský</v>
      </c>
      <c r="F448" t="str">
        <f>"10001"</f>
        <v>10001</v>
      </c>
      <c r="G448" t="str">
        <f>"Statutární město Karviná"</f>
        <v>Statutární město Karviná</v>
      </c>
      <c r="H448" t="str">
        <f>"297534"</f>
        <v>297534</v>
      </c>
      <c r="I448" t="str">
        <f>"jiná právnická osoba (vč. obce a kraje)"</f>
        <v>jiná právnická osoba (vč. obce a kraje)</v>
      </c>
      <c r="J448" t="str">
        <f>"OPO"</f>
        <v>OPO</v>
      </c>
      <c r="K448" t="str">
        <f>"1"</f>
        <v>1</v>
      </c>
      <c r="L448" t="str">
        <f>"Vlastnické právo"</f>
        <v>Vlastnické právo</v>
      </c>
    </row>
    <row r="449" spans="1:12" x14ac:dyDescent="0.25">
      <c r="A449" t="str">
        <f>"Darkov"</f>
        <v>Darkov</v>
      </c>
      <c r="B449" t="str">
        <f>"1114/1"</f>
        <v>1114/1</v>
      </c>
      <c r="C449" t="str">
        <f>"1888"</f>
        <v>1888</v>
      </c>
      <c r="D449" t="str">
        <f>"lesní pozemek"</f>
        <v>lesní pozemek</v>
      </c>
      <c r="E449" t="str">
        <f>"les jiný než hospodářský"</f>
        <v>les jiný než hospodářský</v>
      </c>
      <c r="F449" t="str">
        <f>"10001"</f>
        <v>10001</v>
      </c>
      <c r="G449" t="str">
        <f>"Statutární město Karviná"</f>
        <v>Statutární město Karviná</v>
      </c>
      <c r="H449" t="str">
        <f>"297534"</f>
        <v>297534</v>
      </c>
      <c r="I449" t="str">
        <f>"jiná právnická osoba (vč. obce a kraje)"</f>
        <v>jiná právnická osoba (vč. obce a kraje)</v>
      </c>
      <c r="J449" t="str">
        <f>"OPO"</f>
        <v>OPO</v>
      </c>
      <c r="K449" t="str">
        <f>"1"</f>
        <v>1</v>
      </c>
      <c r="L449" t="str">
        <f>"Vlastnické právo"</f>
        <v>Vlastnické právo</v>
      </c>
    </row>
    <row r="450" spans="1:12" x14ac:dyDescent="0.25">
      <c r="A450" t="str">
        <f>"Darkov"</f>
        <v>Darkov</v>
      </c>
      <c r="B450" t="str">
        <f>"1114/2"</f>
        <v>1114/2</v>
      </c>
      <c r="C450" t="str">
        <f>"44"</f>
        <v>44</v>
      </c>
      <c r="D450" t="str">
        <f>"lesní pozemek"</f>
        <v>lesní pozemek</v>
      </c>
      <c r="E450" t="str">
        <f>"les jiný než hospodářský"</f>
        <v>les jiný než hospodářský</v>
      </c>
      <c r="F450" t="str">
        <f>"10001"</f>
        <v>10001</v>
      </c>
      <c r="G450" t="str">
        <f>"Statutární město Karviná"</f>
        <v>Statutární město Karviná</v>
      </c>
      <c r="H450" t="str">
        <f>"297534"</f>
        <v>297534</v>
      </c>
      <c r="I450" t="str">
        <f>"jiná právnická osoba (vč. obce a kraje)"</f>
        <v>jiná právnická osoba (vč. obce a kraje)</v>
      </c>
      <c r="J450" t="str">
        <f>"OPO"</f>
        <v>OPO</v>
      </c>
      <c r="K450" t="str">
        <f>"1"</f>
        <v>1</v>
      </c>
      <c r="L450" t="str">
        <f>"Vlastnické právo"</f>
        <v>Vlastnické právo</v>
      </c>
    </row>
    <row r="451" spans="1:12" x14ac:dyDescent="0.25">
      <c r="A451" t="str">
        <f>"Darkov"</f>
        <v>Darkov</v>
      </c>
      <c r="B451" t="str">
        <f>"1115/1"</f>
        <v>1115/1</v>
      </c>
      <c r="C451" t="str">
        <f>"90459"</f>
        <v>90459</v>
      </c>
      <c r="D451" t="str">
        <f>"lesní pozemek"</f>
        <v>lesní pozemek</v>
      </c>
      <c r="E451" t="str">
        <f>"les jiný než hospodářský"</f>
        <v>les jiný než hospodářský</v>
      </c>
      <c r="F451" t="str">
        <f>"10001"</f>
        <v>10001</v>
      </c>
      <c r="G451" t="str">
        <f>"Statutární město Karviná"</f>
        <v>Statutární město Karviná</v>
      </c>
      <c r="H451" t="str">
        <f>"297534"</f>
        <v>297534</v>
      </c>
      <c r="I451" t="str">
        <f>"jiná právnická osoba (vč. obce a kraje)"</f>
        <v>jiná právnická osoba (vč. obce a kraje)</v>
      </c>
      <c r="J451" t="str">
        <f>"OPO"</f>
        <v>OPO</v>
      </c>
      <c r="K451" t="str">
        <f>"1"</f>
        <v>1</v>
      </c>
      <c r="L451" t="str">
        <f>"Vlastnické právo"</f>
        <v>Vlastnické právo</v>
      </c>
    </row>
    <row r="452" spans="1:12" x14ac:dyDescent="0.25">
      <c r="A452" t="str">
        <f>"Darkov"</f>
        <v>Darkov</v>
      </c>
      <c r="B452" t="str">
        <f>"1116/1"</f>
        <v>1116/1</v>
      </c>
      <c r="C452" t="str">
        <f>"15574"</f>
        <v>15574</v>
      </c>
      <c r="D452" t="str">
        <f>"lesní pozemek"</f>
        <v>lesní pozemek</v>
      </c>
      <c r="E452" t="str">
        <f>"les jiný než hospodářský"</f>
        <v>les jiný než hospodářský</v>
      </c>
      <c r="F452" t="str">
        <f>"10001"</f>
        <v>10001</v>
      </c>
      <c r="G452" t="str">
        <f>"Statutární město Karviná"</f>
        <v>Statutární město Karviná</v>
      </c>
      <c r="H452" t="str">
        <f>"297534"</f>
        <v>297534</v>
      </c>
      <c r="I452" t="str">
        <f>"jiná právnická osoba (vč. obce a kraje)"</f>
        <v>jiná právnická osoba (vč. obce a kraje)</v>
      </c>
      <c r="J452" t="str">
        <f>"OPO"</f>
        <v>OPO</v>
      </c>
      <c r="K452" t="str">
        <f>"1"</f>
        <v>1</v>
      </c>
      <c r="L452" t="str">
        <f>"Vlastnické právo"</f>
        <v>Vlastnické právo</v>
      </c>
    </row>
    <row r="453" spans="1:12" x14ac:dyDescent="0.25">
      <c r="A453" t="str">
        <f>"Darkov"</f>
        <v>Darkov</v>
      </c>
      <c r="B453" t="str">
        <f>"1116/2"</f>
        <v>1116/2</v>
      </c>
      <c r="C453" t="str">
        <f>"6718"</f>
        <v>6718</v>
      </c>
      <c r="D453" t="str">
        <f>"lesní pozemek"</f>
        <v>lesní pozemek</v>
      </c>
      <c r="E453" t="str">
        <f>"les jiný než hospodářský"</f>
        <v>les jiný než hospodářský</v>
      </c>
      <c r="F453" t="str">
        <f>"10001"</f>
        <v>10001</v>
      </c>
      <c r="G453" t="str">
        <f>"Statutární město Karviná"</f>
        <v>Statutární město Karviná</v>
      </c>
      <c r="H453" t="str">
        <f>"297534"</f>
        <v>297534</v>
      </c>
      <c r="I453" t="str">
        <f>"jiná právnická osoba (vč. obce a kraje)"</f>
        <v>jiná právnická osoba (vč. obce a kraje)</v>
      </c>
      <c r="J453" t="str">
        <f>"OPO"</f>
        <v>OPO</v>
      </c>
      <c r="K453" t="str">
        <f>"1"</f>
        <v>1</v>
      </c>
      <c r="L453" t="str">
        <f>"Vlastnické právo"</f>
        <v>Vlastnické právo</v>
      </c>
    </row>
    <row r="454" spans="1:12" x14ac:dyDescent="0.25">
      <c r="A454" t="str">
        <f>"Darkov"</f>
        <v>Darkov</v>
      </c>
      <c r="B454" t="str">
        <f>"1116/3"</f>
        <v>1116/3</v>
      </c>
      <c r="C454" t="str">
        <f>"6477"</f>
        <v>6477</v>
      </c>
      <c r="D454" t="str">
        <f>"lesní pozemek"</f>
        <v>lesní pozemek</v>
      </c>
      <c r="E454" t="str">
        <f>"les jiný než hospodářský"</f>
        <v>les jiný než hospodářský</v>
      </c>
      <c r="F454" t="str">
        <f>"10001"</f>
        <v>10001</v>
      </c>
      <c r="G454" t="str">
        <f>"Statutární město Karviná"</f>
        <v>Statutární město Karviná</v>
      </c>
      <c r="H454" t="str">
        <f>"297534"</f>
        <v>297534</v>
      </c>
      <c r="I454" t="str">
        <f>"jiná právnická osoba (vč. obce a kraje)"</f>
        <v>jiná právnická osoba (vč. obce a kraje)</v>
      </c>
      <c r="J454" t="str">
        <f>"OPO"</f>
        <v>OPO</v>
      </c>
      <c r="K454" t="str">
        <f>"1"</f>
        <v>1</v>
      </c>
      <c r="L454" t="str">
        <f>"Vlastnické právo"</f>
        <v>Vlastnické právo</v>
      </c>
    </row>
    <row r="455" spans="1:12" x14ac:dyDescent="0.25">
      <c r="A455" t="str">
        <f>"Darkov"</f>
        <v>Darkov</v>
      </c>
      <c r="B455" t="str">
        <f>"1116/4"</f>
        <v>1116/4</v>
      </c>
      <c r="C455" t="str">
        <f>"4189"</f>
        <v>4189</v>
      </c>
      <c r="D455" t="str">
        <f>"lesní pozemek"</f>
        <v>lesní pozemek</v>
      </c>
      <c r="E455" t="str">
        <f>"les jiný než hospodářský"</f>
        <v>les jiný než hospodářský</v>
      </c>
      <c r="F455" t="str">
        <f>"10001"</f>
        <v>10001</v>
      </c>
      <c r="G455" t="str">
        <f>"Statutární město Karviná"</f>
        <v>Statutární město Karviná</v>
      </c>
      <c r="H455" t="str">
        <f>"297534"</f>
        <v>297534</v>
      </c>
      <c r="I455" t="str">
        <f>"jiná právnická osoba (vč. obce a kraje)"</f>
        <v>jiná právnická osoba (vč. obce a kraje)</v>
      </c>
      <c r="J455" t="str">
        <f>"OPO"</f>
        <v>OPO</v>
      </c>
      <c r="K455" t="str">
        <f>"1"</f>
        <v>1</v>
      </c>
      <c r="L455" t="str">
        <f>"Vlastnické právo"</f>
        <v>Vlastnické právo</v>
      </c>
    </row>
    <row r="456" spans="1:12" x14ac:dyDescent="0.25">
      <c r="A456" t="str">
        <f>"Darkov"</f>
        <v>Darkov</v>
      </c>
      <c r="B456" t="str">
        <f>"1118"</f>
        <v>1118</v>
      </c>
      <c r="C456" t="str">
        <f>"1422"</f>
        <v>1422</v>
      </c>
      <c r="D456" t="str">
        <f>"lesní pozemek"</f>
        <v>lesní pozemek</v>
      </c>
      <c r="E456" t="str">
        <f>"les jiný než hospodářský"</f>
        <v>les jiný než hospodářský</v>
      </c>
      <c r="F456" t="str">
        <f>"10001"</f>
        <v>10001</v>
      </c>
      <c r="G456" t="str">
        <f>"Statutární město Karviná"</f>
        <v>Statutární město Karviná</v>
      </c>
      <c r="H456" t="str">
        <f>"297534"</f>
        <v>297534</v>
      </c>
      <c r="I456" t="str">
        <f>"jiná právnická osoba (vč. obce a kraje)"</f>
        <v>jiná právnická osoba (vč. obce a kraje)</v>
      </c>
      <c r="J456" t="str">
        <f>"OPO"</f>
        <v>OPO</v>
      </c>
      <c r="K456" t="str">
        <f>"1"</f>
        <v>1</v>
      </c>
      <c r="L456" t="str">
        <f>"Vlastnické právo"</f>
        <v>Vlastnické právo</v>
      </c>
    </row>
    <row r="457" spans="1:12" x14ac:dyDescent="0.25">
      <c r="A457" t="str">
        <f>"Darkov"</f>
        <v>Darkov</v>
      </c>
      <c r="B457" t="str">
        <f>"1120/1"</f>
        <v>1120/1</v>
      </c>
      <c r="C457" t="str">
        <f>"21490"</f>
        <v>21490</v>
      </c>
      <c r="D457" t="str">
        <f>"lesní pozemek"</f>
        <v>lesní pozemek</v>
      </c>
      <c r="E457" t="str">
        <f>"les jiný než hospodářský"</f>
        <v>les jiný než hospodářský</v>
      </c>
      <c r="F457" t="str">
        <f>"10001"</f>
        <v>10001</v>
      </c>
      <c r="G457" t="str">
        <f>"Statutární město Karviná"</f>
        <v>Statutární město Karviná</v>
      </c>
      <c r="H457" t="str">
        <f>"297534"</f>
        <v>297534</v>
      </c>
      <c r="I457" t="str">
        <f>"jiná právnická osoba (vč. obce a kraje)"</f>
        <v>jiná právnická osoba (vč. obce a kraje)</v>
      </c>
      <c r="J457" t="str">
        <f>"OPO"</f>
        <v>OPO</v>
      </c>
      <c r="K457" t="str">
        <f>"1"</f>
        <v>1</v>
      </c>
      <c r="L457" t="str">
        <f>"Vlastnické právo"</f>
        <v>Vlastnické právo</v>
      </c>
    </row>
    <row r="458" spans="1:12" x14ac:dyDescent="0.25">
      <c r="A458" t="str">
        <f>"Darkov"</f>
        <v>Darkov</v>
      </c>
      <c r="B458" t="str">
        <f>"1120/2"</f>
        <v>1120/2</v>
      </c>
      <c r="C458" t="str">
        <f>"3269"</f>
        <v>3269</v>
      </c>
      <c r="D458" t="str">
        <f>"lesní pozemek"</f>
        <v>lesní pozemek</v>
      </c>
      <c r="E458" t="str">
        <f>"les jiný než hospodářský"</f>
        <v>les jiný než hospodářský</v>
      </c>
      <c r="F458" t="str">
        <f>"10001"</f>
        <v>10001</v>
      </c>
      <c r="G458" t="str">
        <f>"Statutární město Karviná"</f>
        <v>Statutární město Karviná</v>
      </c>
      <c r="H458" t="str">
        <f>"297534"</f>
        <v>297534</v>
      </c>
      <c r="I458" t="str">
        <f>"jiná právnická osoba (vč. obce a kraje)"</f>
        <v>jiná právnická osoba (vč. obce a kraje)</v>
      </c>
      <c r="J458" t="str">
        <f>"OPO"</f>
        <v>OPO</v>
      </c>
      <c r="K458" t="str">
        <f>"1"</f>
        <v>1</v>
      </c>
      <c r="L458" t="str">
        <f>"Vlastnické právo"</f>
        <v>Vlastnické právo</v>
      </c>
    </row>
    <row r="459" spans="1:12" x14ac:dyDescent="0.25">
      <c r="A459" t="str">
        <f>"Darkov"</f>
        <v>Darkov</v>
      </c>
      <c r="B459" t="str">
        <f>"1121"</f>
        <v>1121</v>
      </c>
      <c r="C459" t="str">
        <f>"1742"</f>
        <v>1742</v>
      </c>
      <c r="D459" t="str">
        <f>"lesní pozemek"</f>
        <v>lesní pozemek</v>
      </c>
      <c r="E459" t="str">
        <f>"les jiný než hospodářský"</f>
        <v>les jiný než hospodářský</v>
      </c>
      <c r="F459" t="str">
        <f>"10001"</f>
        <v>10001</v>
      </c>
      <c r="G459" t="str">
        <f>"Statutární město Karviná"</f>
        <v>Statutární město Karviná</v>
      </c>
      <c r="H459" t="str">
        <f>"297534"</f>
        <v>297534</v>
      </c>
      <c r="I459" t="str">
        <f>"jiná právnická osoba (vč. obce a kraje)"</f>
        <v>jiná právnická osoba (vč. obce a kraje)</v>
      </c>
      <c r="J459" t="str">
        <f>"OPO"</f>
        <v>OPO</v>
      </c>
      <c r="K459" t="str">
        <f>"1"</f>
        <v>1</v>
      </c>
      <c r="L459" t="str">
        <f>"Vlastnické právo"</f>
        <v>Vlastnické právo</v>
      </c>
    </row>
    <row r="460" spans="1:12" x14ac:dyDescent="0.25">
      <c r="A460" t="str">
        <f>"Darkov"</f>
        <v>Darkov</v>
      </c>
      <c r="B460" t="str">
        <f>"1122/13"</f>
        <v>1122/13</v>
      </c>
      <c r="C460" t="str">
        <f>"36495"</f>
        <v>36495</v>
      </c>
      <c r="D460" t="str">
        <f>"lesní pozemek"</f>
        <v>lesní pozemek</v>
      </c>
      <c r="E460" t="str">
        <f>"les jiný než hospodářský"</f>
        <v>les jiný než hospodářský</v>
      </c>
      <c r="F460" t="str">
        <f>"10001"</f>
        <v>10001</v>
      </c>
      <c r="G460" t="str">
        <f>"Statutární město Karviná"</f>
        <v>Statutární město Karviná</v>
      </c>
      <c r="H460" t="str">
        <f>"297534"</f>
        <v>297534</v>
      </c>
      <c r="I460" t="str">
        <f>"jiná právnická osoba (vč. obce a kraje)"</f>
        <v>jiná právnická osoba (vč. obce a kraje)</v>
      </c>
      <c r="J460" t="str">
        <f>"OPO"</f>
        <v>OPO</v>
      </c>
      <c r="K460" t="str">
        <f>"1"</f>
        <v>1</v>
      </c>
      <c r="L460" t="str">
        <f>"Vlastnické právo"</f>
        <v>Vlastnické právo</v>
      </c>
    </row>
    <row r="461" spans="1:12" x14ac:dyDescent="0.25">
      <c r="A461" t="str">
        <f>"Darkov"</f>
        <v>Darkov</v>
      </c>
      <c r="B461" t="str">
        <f>"1130/7"</f>
        <v>1130/7</v>
      </c>
      <c r="C461" t="str">
        <f>"5980"</f>
        <v>5980</v>
      </c>
      <c r="D461" t="str">
        <f>"lesní pozemek"</f>
        <v>lesní pozemek</v>
      </c>
      <c r="E461" t="str">
        <f>"les jiný než hospodářský"</f>
        <v>les jiný než hospodářský</v>
      </c>
      <c r="F461" t="str">
        <f>"10001"</f>
        <v>10001</v>
      </c>
      <c r="G461" t="str">
        <f>"Statutární město Karviná"</f>
        <v>Statutární město Karviná</v>
      </c>
      <c r="H461" t="str">
        <f>"297534"</f>
        <v>297534</v>
      </c>
      <c r="I461" t="str">
        <f>"jiná právnická osoba (vč. obce a kraje)"</f>
        <v>jiná právnická osoba (vč. obce a kraje)</v>
      </c>
      <c r="J461" t="str">
        <f>"OPO"</f>
        <v>OPO</v>
      </c>
      <c r="K461" t="str">
        <f>"1"</f>
        <v>1</v>
      </c>
      <c r="L461" t="str">
        <f>"Vlastnické právo"</f>
        <v>Vlastnické právo</v>
      </c>
    </row>
    <row r="462" spans="1:12" x14ac:dyDescent="0.25">
      <c r="A462" t="str">
        <f>"Darkov"</f>
        <v>Darkov</v>
      </c>
      <c r="B462" t="str">
        <f>"1130/9"</f>
        <v>1130/9</v>
      </c>
      <c r="C462" t="str">
        <f>"1746"</f>
        <v>1746</v>
      </c>
      <c r="D462" t="str">
        <f>"lesní pozemek"</f>
        <v>lesní pozemek</v>
      </c>
      <c r="E462" t="str">
        <f>"les jiný než hospodářský"</f>
        <v>les jiný než hospodářský</v>
      </c>
      <c r="F462" t="str">
        <f>"10001"</f>
        <v>10001</v>
      </c>
      <c r="G462" t="str">
        <f>"Statutární město Karviná"</f>
        <v>Statutární město Karviná</v>
      </c>
      <c r="H462" t="str">
        <f>"297534"</f>
        <v>297534</v>
      </c>
      <c r="I462" t="str">
        <f>"jiná právnická osoba (vč. obce a kraje)"</f>
        <v>jiná právnická osoba (vč. obce a kraje)</v>
      </c>
      <c r="J462" t="str">
        <f>"OPO"</f>
        <v>OPO</v>
      </c>
      <c r="K462" t="str">
        <f>"1"</f>
        <v>1</v>
      </c>
      <c r="L462" t="str">
        <f>"Vlastnické právo"</f>
        <v>Vlastnické právo</v>
      </c>
    </row>
    <row r="463" spans="1:12" x14ac:dyDescent="0.25">
      <c r="A463" t="str">
        <f>"Darkov"</f>
        <v>Darkov</v>
      </c>
      <c r="B463" t="str">
        <f>"1130/10"</f>
        <v>1130/10</v>
      </c>
      <c r="C463" t="str">
        <f>"6864"</f>
        <v>6864</v>
      </c>
      <c r="D463" t="str">
        <f>"lesní pozemek"</f>
        <v>lesní pozemek</v>
      </c>
      <c r="E463" t="str">
        <f>""</f>
        <v/>
      </c>
      <c r="F463" t="str">
        <f>"10001"</f>
        <v>10001</v>
      </c>
      <c r="G463" t="str">
        <f>"Statutární město Karviná"</f>
        <v>Statutární město Karviná</v>
      </c>
      <c r="H463" t="str">
        <f>"297534"</f>
        <v>297534</v>
      </c>
      <c r="I463" t="str">
        <f>"jiná právnická osoba (vč. obce a kraje)"</f>
        <v>jiná právnická osoba (vč. obce a kraje)</v>
      </c>
      <c r="J463" t="str">
        <f>"OPO"</f>
        <v>OPO</v>
      </c>
      <c r="K463" t="str">
        <f>"1"</f>
        <v>1</v>
      </c>
      <c r="L463" t="str">
        <f>"Vlastnické právo"</f>
        <v>Vlastnické právo</v>
      </c>
    </row>
    <row r="464" spans="1:12" x14ac:dyDescent="0.25">
      <c r="A464" t="str">
        <f>"Darkov"</f>
        <v>Darkov</v>
      </c>
      <c r="B464" t="str">
        <f>"1162"</f>
        <v>1162</v>
      </c>
      <c r="C464" t="str">
        <f>"897"</f>
        <v>897</v>
      </c>
      <c r="D464" t="str">
        <f>"lesní pozemek"</f>
        <v>lesní pozemek</v>
      </c>
      <c r="E464" t="str">
        <f>"les jiný než hospodářský"</f>
        <v>les jiný než hospodářský</v>
      </c>
      <c r="F464" t="str">
        <f>"10001"</f>
        <v>10001</v>
      </c>
      <c r="G464" t="str">
        <f>"Statutární město Karviná"</f>
        <v>Statutární město Karviná</v>
      </c>
      <c r="H464" t="str">
        <f>"297534"</f>
        <v>297534</v>
      </c>
      <c r="I464" t="str">
        <f>"jiná právnická osoba (vč. obce a kraje)"</f>
        <v>jiná právnická osoba (vč. obce a kraje)</v>
      </c>
      <c r="J464" t="str">
        <f>"OPO"</f>
        <v>OPO</v>
      </c>
      <c r="K464" t="str">
        <f>"1"</f>
        <v>1</v>
      </c>
      <c r="L464" t="str">
        <f>"Vlastnické právo"</f>
        <v>Vlastnické právo</v>
      </c>
    </row>
    <row r="465" spans="1:12" x14ac:dyDescent="0.25">
      <c r="A465" t="str">
        <f>"Darkov"</f>
        <v>Darkov</v>
      </c>
      <c r="B465" t="str">
        <f>"1163"</f>
        <v>1163</v>
      </c>
      <c r="C465" t="str">
        <f>"330"</f>
        <v>330</v>
      </c>
      <c r="D465" t="str">
        <f>"lesní pozemek"</f>
        <v>lesní pozemek</v>
      </c>
      <c r="E465" t="str">
        <f>"les jiný než hospodářský"</f>
        <v>les jiný než hospodářský</v>
      </c>
      <c r="F465" t="str">
        <f>"10001"</f>
        <v>10001</v>
      </c>
      <c r="G465" t="str">
        <f>"Statutární město Karviná"</f>
        <v>Statutární město Karviná</v>
      </c>
      <c r="H465" t="str">
        <f>"297534"</f>
        <v>297534</v>
      </c>
      <c r="I465" t="str">
        <f>"jiná právnická osoba (vč. obce a kraje)"</f>
        <v>jiná právnická osoba (vč. obce a kraje)</v>
      </c>
      <c r="J465" t="str">
        <f>"OPO"</f>
        <v>OPO</v>
      </c>
      <c r="K465" t="str">
        <f>"1"</f>
        <v>1</v>
      </c>
      <c r="L465" t="str">
        <f>"Vlastnické právo"</f>
        <v>Vlastnické právo</v>
      </c>
    </row>
    <row r="466" spans="1:12" x14ac:dyDescent="0.25">
      <c r="A466" t="str">
        <f>"Darkov"</f>
        <v>Darkov</v>
      </c>
      <c r="B466" t="str">
        <f>"1164"</f>
        <v>1164</v>
      </c>
      <c r="C466" t="str">
        <f>"145"</f>
        <v>145</v>
      </c>
      <c r="D466" t="str">
        <f>"lesní pozemek"</f>
        <v>lesní pozemek</v>
      </c>
      <c r="E466" t="str">
        <f>"les jiný než hospodářský"</f>
        <v>les jiný než hospodářský</v>
      </c>
      <c r="F466" t="str">
        <f>"10001"</f>
        <v>10001</v>
      </c>
      <c r="G466" t="str">
        <f>"Statutární město Karviná"</f>
        <v>Statutární město Karviná</v>
      </c>
      <c r="H466" t="str">
        <f>"297534"</f>
        <v>297534</v>
      </c>
      <c r="I466" t="str">
        <f>"jiná právnická osoba (vč. obce a kraje)"</f>
        <v>jiná právnická osoba (vč. obce a kraje)</v>
      </c>
      <c r="J466" t="str">
        <f>"OPO"</f>
        <v>OPO</v>
      </c>
      <c r="K466" t="str">
        <f>"1"</f>
        <v>1</v>
      </c>
      <c r="L466" t="str">
        <f>"Vlastnické právo"</f>
        <v>Vlastnické právo</v>
      </c>
    </row>
    <row r="467" spans="1:12" x14ac:dyDescent="0.25">
      <c r="A467" t="str">
        <f>"Darkov"</f>
        <v>Darkov</v>
      </c>
      <c r="B467" t="str">
        <f>"1165"</f>
        <v>1165</v>
      </c>
      <c r="C467" t="str">
        <f>"3731"</f>
        <v>3731</v>
      </c>
      <c r="D467" t="str">
        <f>"lesní pozemek"</f>
        <v>lesní pozemek</v>
      </c>
      <c r="E467" t="str">
        <f>"les jiný než hospodářský"</f>
        <v>les jiný než hospodářský</v>
      </c>
      <c r="F467" t="str">
        <f>"10001"</f>
        <v>10001</v>
      </c>
      <c r="G467" t="str">
        <f>"Statutární město Karviná"</f>
        <v>Statutární město Karviná</v>
      </c>
      <c r="H467" t="str">
        <f>"297534"</f>
        <v>297534</v>
      </c>
      <c r="I467" t="str">
        <f>"jiná právnická osoba (vč. obce a kraje)"</f>
        <v>jiná právnická osoba (vč. obce a kraje)</v>
      </c>
      <c r="J467" t="str">
        <f>"OPO"</f>
        <v>OPO</v>
      </c>
      <c r="K467" t="str">
        <f>"1"</f>
        <v>1</v>
      </c>
      <c r="L467" t="str">
        <f>"Vlastnické právo"</f>
        <v>Vlastnické právo</v>
      </c>
    </row>
    <row r="468" spans="1:12" x14ac:dyDescent="0.25">
      <c r="A468" t="str">
        <f>"Darkov"</f>
        <v>Darkov</v>
      </c>
      <c r="B468" t="str">
        <f>"1166/1"</f>
        <v>1166/1</v>
      </c>
      <c r="C468" t="str">
        <f>"1612"</f>
        <v>1612</v>
      </c>
      <c r="D468" t="str">
        <f>"lesní pozemek"</f>
        <v>lesní pozemek</v>
      </c>
      <c r="E468" t="str">
        <f>"les jiný než hospodářský"</f>
        <v>les jiný než hospodářský</v>
      </c>
      <c r="F468" t="str">
        <f>"10001"</f>
        <v>10001</v>
      </c>
      <c r="G468" t="str">
        <f>"Statutární město Karviná"</f>
        <v>Statutární město Karviná</v>
      </c>
      <c r="H468" t="str">
        <f>"297534"</f>
        <v>297534</v>
      </c>
      <c r="I468" t="str">
        <f>"jiná právnická osoba (vč. obce a kraje)"</f>
        <v>jiná právnická osoba (vč. obce a kraje)</v>
      </c>
      <c r="J468" t="str">
        <f>"OPO"</f>
        <v>OPO</v>
      </c>
      <c r="K468" t="str">
        <f>"1"</f>
        <v>1</v>
      </c>
      <c r="L468" t="str">
        <f>"Vlastnické právo"</f>
        <v>Vlastnické právo</v>
      </c>
    </row>
    <row r="469" spans="1:12" x14ac:dyDescent="0.25">
      <c r="A469" t="str">
        <f>"Darkov"</f>
        <v>Darkov</v>
      </c>
      <c r="B469" t="str">
        <f>"1166/2"</f>
        <v>1166/2</v>
      </c>
      <c r="C469" t="str">
        <f>"9022"</f>
        <v>9022</v>
      </c>
      <c r="D469" t="str">
        <f>"lesní pozemek"</f>
        <v>lesní pozemek</v>
      </c>
      <c r="E469" t="str">
        <f>"les jiný než hospodářský"</f>
        <v>les jiný než hospodářský</v>
      </c>
      <c r="F469" t="str">
        <f>"10001"</f>
        <v>10001</v>
      </c>
      <c r="G469" t="str">
        <f>"Statutární město Karviná"</f>
        <v>Statutární město Karviná</v>
      </c>
      <c r="H469" t="str">
        <f>"297534"</f>
        <v>297534</v>
      </c>
      <c r="I469" t="str">
        <f>"jiná právnická osoba (vč. obce a kraje)"</f>
        <v>jiná právnická osoba (vč. obce a kraje)</v>
      </c>
      <c r="J469" t="str">
        <f>"OPO"</f>
        <v>OPO</v>
      </c>
      <c r="K469" t="str">
        <f>"1"</f>
        <v>1</v>
      </c>
      <c r="L469" t="str">
        <f>"Vlastnické právo"</f>
        <v>Vlastnické právo</v>
      </c>
    </row>
    <row r="470" spans="1:12" x14ac:dyDescent="0.25">
      <c r="A470" t="str">
        <f>"Darkov"</f>
        <v>Darkov</v>
      </c>
      <c r="B470" t="str">
        <f>"1166/3"</f>
        <v>1166/3</v>
      </c>
      <c r="C470" t="str">
        <f>"4743"</f>
        <v>4743</v>
      </c>
      <c r="D470" t="str">
        <f>"lesní pozemek"</f>
        <v>lesní pozemek</v>
      </c>
      <c r="E470" t="str">
        <f>"les jiný než hospodářský"</f>
        <v>les jiný než hospodářský</v>
      </c>
      <c r="F470" t="str">
        <f>"10001"</f>
        <v>10001</v>
      </c>
      <c r="G470" t="str">
        <f>"Statutární město Karviná"</f>
        <v>Statutární město Karviná</v>
      </c>
      <c r="H470" t="str">
        <f>"297534"</f>
        <v>297534</v>
      </c>
      <c r="I470" t="str">
        <f>"jiná právnická osoba (vč. obce a kraje)"</f>
        <v>jiná právnická osoba (vč. obce a kraje)</v>
      </c>
      <c r="J470" t="str">
        <f>"OPO"</f>
        <v>OPO</v>
      </c>
      <c r="K470" t="str">
        <f>"1"</f>
        <v>1</v>
      </c>
      <c r="L470" t="str">
        <f>"Vlastnické právo"</f>
        <v>Vlastnické právo</v>
      </c>
    </row>
    <row r="471" spans="1:12" x14ac:dyDescent="0.25">
      <c r="A471" t="str">
        <f>"Darkov"</f>
        <v>Darkov</v>
      </c>
      <c r="B471" t="str">
        <f>"1166/4"</f>
        <v>1166/4</v>
      </c>
      <c r="C471" t="str">
        <f>"870"</f>
        <v>870</v>
      </c>
      <c r="D471" t="str">
        <f>"lesní pozemek"</f>
        <v>lesní pozemek</v>
      </c>
      <c r="E471" t="str">
        <f>"les jiný než hospodářský"</f>
        <v>les jiný než hospodářský</v>
      </c>
      <c r="F471" t="str">
        <f>"10001"</f>
        <v>10001</v>
      </c>
      <c r="G471" t="str">
        <f>"Statutární město Karviná"</f>
        <v>Statutární město Karviná</v>
      </c>
      <c r="H471" t="str">
        <f>"297534"</f>
        <v>297534</v>
      </c>
      <c r="I471" t="str">
        <f>"jiná právnická osoba (vč. obce a kraje)"</f>
        <v>jiná právnická osoba (vč. obce a kraje)</v>
      </c>
      <c r="J471" t="str">
        <f>"OPO"</f>
        <v>OPO</v>
      </c>
      <c r="K471" t="str">
        <f>"1"</f>
        <v>1</v>
      </c>
      <c r="L471" t="str">
        <f>"Vlastnické právo"</f>
        <v>Vlastnické právo</v>
      </c>
    </row>
    <row r="472" spans="1:12" x14ac:dyDescent="0.25">
      <c r="A472" t="str">
        <f>"Darkov"</f>
        <v>Darkov</v>
      </c>
      <c r="B472" t="str">
        <f>"1166/5"</f>
        <v>1166/5</v>
      </c>
      <c r="C472" t="str">
        <f>"885"</f>
        <v>885</v>
      </c>
      <c r="D472" t="str">
        <f>"lesní pozemek"</f>
        <v>lesní pozemek</v>
      </c>
      <c r="E472" t="str">
        <f>"les jiný než hospodářský"</f>
        <v>les jiný než hospodářský</v>
      </c>
      <c r="F472" t="str">
        <f>"10001"</f>
        <v>10001</v>
      </c>
      <c r="G472" t="str">
        <f>"Statutární město Karviná"</f>
        <v>Statutární město Karviná</v>
      </c>
      <c r="H472" t="str">
        <f>"297534"</f>
        <v>297534</v>
      </c>
      <c r="I472" t="str">
        <f>"jiná právnická osoba (vč. obce a kraje)"</f>
        <v>jiná právnická osoba (vč. obce a kraje)</v>
      </c>
      <c r="J472" t="str">
        <f>"OPO"</f>
        <v>OPO</v>
      </c>
      <c r="K472" t="str">
        <f>"1"</f>
        <v>1</v>
      </c>
      <c r="L472" t="str">
        <f>"Vlastnické právo"</f>
        <v>Vlastnické právo</v>
      </c>
    </row>
    <row r="473" spans="1:12" x14ac:dyDescent="0.25">
      <c r="A473" t="str">
        <f>"Darkov"</f>
        <v>Darkov</v>
      </c>
      <c r="B473" t="str">
        <f>"1166/6"</f>
        <v>1166/6</v>
      </c>
      <c r="C473" t="str">
        <f>"874"</f>
        <v>874</v>
      </c>
      <c r="D473" t="str">
        <f>"lesní pozemek"</f>
        <v>lesní pozemek</v>
      </c>
      <c r="E473" t="str">
        <f>"les jiný než hospodářský"</f>
        <v>les jiný než hospodářský</v>
      </c>
      <c r="F473" t="str">
        <f>"10001"</f>
        <v>10001</v>
      </c>
      <c r="G473" t="str">
        <f>"Statutární město Karviná"</f>
        <v>Statutární město Karviná</v>
      </c>
      <c r="H473" t="str">
        <f>"297534"</f>
        <v>297534</v>
      </c>
      <c r="I473" t="str">
        <f>"jiná právnická osoba (vč. obce a kraje)"</f>
        <v>jiná právnická osoba (vč. obce a kraje)</v>
      </c>
      <c r="J473" t="str">
        <f>"OPO"</f>
        <v>OPO</v>
      </c>
      <c r="K473" t="str">
        <f>"1"</f>
        <v>1</v>
      </c>
      <c r="L473" t="str">
        <f>"Vlastnické právo"</f>
        <v>Vlastnické právo</v>
      </c>
    </row>
    <row r="474" spans="1:12" x14ac:dyDescent="0.25">
      <c r="A474" t="str">
        <f>"Darkov"</f>
        <v>Darkov</v>
      </c>
      <c r="B474" t="str">
        <f>"1170"</f>
        <v>1170</v>
      </c>
      <c r="C474" t="str">
        <f>"214"</f>
        <v>214</v>
      </c>
      <c r="D474" t="str">
        <f>"lesní pozemek"</f>
        <v>lesní pozemek</v>
      </c>
      <c r="E474" t="str">
        <f>"les jiný než hospodářský"</f>
        <v>les jiný než hospodářský</v>
      </c>
      <c r="F474" t="str">
        <f>"10001"</f>
        <v>10001</v>
      </c>
      <c r="G474" t="str">
        <f>"Statutární město Karviná"</f>
        <v>Statutární město Karviná</v>
      </c>
      <c r="H474" t="str">
        <f>"297534"</f>
        <v>297534</v>
      </c>
      <c r="I474" t="str">
        <f>"jiná právnická osoba (vč. obce a kraje)"</f>
        <v>jiná právnická osoba (vč. obce a kraje)</v>
      </c>
      <c r="J474" t="str">
        <f>"OPO"</f>
        <v>OPO</v>
      </c>
      <c r="K474" t="str">
        <f>"1"</f>
        <v>1</v>
      </c>
      <c r="L474" t="str">
        <f>"Vlastnické právo"</f>
        <v>Vlastnické právo</v>
      </c>
    </row>
    <row r="475" spans="1:12" x14ac:dyDescent="0.25">
      <c r="A475" t="str">
        <f>"Darkov"</f>
        <v>Darkov</v>
      </c>
      <c r="B475" t="str">
        <f>"1171"</f>
        <v>1171</v>
      </c>
      <c r="C475" t="str">
        <f>"258"</f>
        <v>258</v>
      </c>
      <c r="D475" t="str">
        <f>"lesní pozemek"</f>
        <v>lesní pozemek</v>
      </c>
      <c r="E475" t="str">
        <f>"les jiný než hospodářský"</f>
        <v>les jiný než hospodářský</v>
      </c>
      <c r="F475" t="str">
        <f>"10001"</f>
        <v>10001</v>
      </c>
      <c r="G475" t="str">
        <f>"Statutární město Karviná"</f>
        <v>Statutární město Karviná</v>
      </c>
      <c r="H475" t="str">
        <f>"297534"</f>
        <v>297534</v>
      </c>
      <c r="I475" t="str">
        <f>"jiná právnická osoba (vč. obce a kraje)"</f>
        <v>jiná právnická osoba (vč. obce a kraje)</v>
      </c>
      <c r="J475" t="str">
        <f>"OPO"</f>
        <v>OPO</v>
      </c>
      <c r="K475" t="str">
        <f>"1"</f>
        <v>1</v>
      </c>
      <c r="L475" t="str">
        <f>"Vlastnické právo"</f>
        <v>Vlastnické právo</v>
      </c>
    </row>
    <row r="476" spans="1:12" x14ac:dyDescent="0.25">
      <c r="A476" t="str">
        <f>"Darkov"</f>
        <v>Darkov</v>
      </c>
      <c r="B476" t="str">
        <f>"1172"</f>
        <v>1172</v>
      </c>
      <c r="C476" t="str">
        <f>"640"</f>
        <v>640</v>
      </c>
      <c r="D476" t="str">
        <f>"lesní pozemek"</f>
        <v>lesní pozemek</v>
      </c>
      <c r="E476" t="str">
        <f>"les jiný než hospodářský"</f>
        <v>les jiný než hospodářský</v>
      </c>
      <c r="F476" t="str">
        <f>"10001"</f>
        <v>10001</v>
      </c>
      <c r="G476" t="str">
        <f>"Statutární město Karviná"</f>
        <v>Statutární město Karviná</v>
      </c>
      <c r="H476" t="str">
        <f>"297534"</f>
        <v>297534</v>
      </c>
      <c r="I476" t="str">
        <f>"jiná právnická osoba (vč. obce a kraje)"</f>
        <v>jiná právnická osoba (vč. obce a kraje)</v>
      </c>
      <c r="J476" t="str">
        <f>"OPO"</f>
        <v>OPO</v>
      </c>
      <c r="K476" t="str">
        <f>"1"</f>
        <v>1</v>
      </c>
      <c r="L476" t="str">
        <f>"Vlastnické právo"</f>
        <v>Vlastnické právo</v>
      </c>
    </row>
    <row r="477" spans="1:12" x14ac:dyDescent="0.25">
      <c r="A477" t="str">
        <f>"Darkov"</f>
        <v>Darkov</v>
      </c>
      <c r="B477" t="str">
        <f>"1173"</f>
        <v>1173</v>
      </c>
      <c r="C477" t="str">
        <f>"227"</f>
        <v>227</v>
      </c>
      <c r="D477" t="str">
        <f>"lesní pozemek"</f>
        <v>lesní pozemek</v>
      </c>
      <c r="E477" t="str">
        <f>"les jiný než hospodářský"</f>
        <v>les jiný než hospodářský</v>
      </c>
      <c r="F477" t="str">
        <f>"10001"</f>
        <v>10001</v>
      </c>
      <c r="G477" t="str">
        <f>"Statutární město Karviná"</f>
        <v>Statutární město Karviná</v>
      </c>
      <c r="H477" t="str">
        <f>"297534"</f>
        <v>297534</v>
      </c>
      <c r="I477" t="str">
        <f>"jiná právnická osoba (vč. obce a kraje)"</f>
        <v>jiná právnická osoba (vč. obce a kraje)</v>
      </c>
      <c r="J477" t="str">
        <f>"OPO"</f>
        <v>OPO</v>
      </c>
      <c r="K477" t="str">
        <f>"1"</f>
        <v>1</v>
      </c>
      <c r="L477" t="str">
        <f>"Vlastnické právo"</f>
        <v>Vlastnické právo</v>
      </c>
    </row>
    <row r="478" spans="1:12" x14ac:dyDescent="0.25">
      <c r="A478" t="str">
        <f>"Darkov"</f>
        <v>Darkov</v>
      </c>
      <c r="B478" t="str">
        <f>"1174"</f>
        <v>1174</v>
      </c>
      <c r="C478" t="str">
        <f>"145"</f>
        <v>145</v>
      </c>
      <c r="D478" t="str">
        <f>"lesní pozemek"</f>
        <v>lesní pozemek</v>
      </c>
      <c r="E478" t="str">
        <f>"les jiný než hospodářský"</f>
        <v>les jiný než hospodářský</v>
      </c>
      <c r="F478" t="str">
        <f>"10001"</f>
        <v>10001</v>
      </c>
      <c r="G478" t="str">
        <f>"Statutární město Karviná"</f>
        <v>Statutární město Karviná</v>
      </c>
      <c r="H478" t="str">
        <f>"297534"</f>
        <v>297534</v>
      </c>
      <c r="I478" t="str">
        <f>"jiná právnická osoba (vč. obce a kraje)"</f>
        <v>jiná právnická osoba (vč. obce a kraje)</v>
      </c>
      <c r="J478" t="str">
        <f>"OPO"</f>
        <v>OPO</v>
      </c>
      <c r="K478" t="str">
        <f>"1"</f>
        <v>1</v>
      </c>
      <c r="L478" t="str">
        <f>"Vlastnické právo"</f>
        <v>Vlastnické právo</v>
      </c>
    </row>
    <row r="479" spans="1:12" x14ac:dyDescent="0.25">
      <c r="A479" t="str">
        <f>"Darkov"</f>
        <v>Darkov</v>
      </c>
      <c r="B479" t="str">
        <f>"1175/1"</f>
        <v>1175/1</v>
      </c>
      <c r="C479" t="str">
        <f>"1517"</f>
        <v>1517</v>
      </c>
      <c r="D479" t="str">
        <f>"lesní pozemek"</f>
        <v>lesní pozemek</v>
      </c>
      <c r="E479" t="str">
        <f>"les jiný než hospodářský"</f>
        <v>les jiný než hospodářský</v>
      </c>
      <c r="F479" t="str">
        <f>"10001"</f>
        <v>10001</v>
      </c>
      <c r="G479" t="str">
        <f>"Statutární město Karviná"</f>
        <v>Statutární město Karviná</v>
      </c>
      <c r="H479" t="str">
        <f>"297534"</f>
        <v>297534</v>
      </c>
      <c r="I479" t="str">
        <f>"jiná právnická osoba (vč. obce a kraje)"</f>
        <v>jiná právnická osoba (vč. obce a kraje)</v>
      </c>
      <c r="J479" t="str">
        <f>"OPO"</f>
        <v>OPO</v>
      </c>
      <c r="K479" t="str">
        <f>"1"</f>
        <v>1</v>
      </c>
      <c r="L479" t="str">
        <f>"Vlastnické právo"</f>
        <v>Vlastnické právo</v>
      </c>
    </row>
    <row r="480" spans="1:12" x14ac:dyDescent="0.25">
      <c r="A480" t="str">
        <f>"Darkov"</f>
        <v>Darkov</v>
      </c>
      <c r="B480" t="str">
        <f>"1175/2"</f>
        <v>1175/2</v>
      </c>
      <c r="C480" t="str">
        <f>"27"</f>
        <v>27</v>
      </c>
      <c r="D480" t="str">
        <f>"lesní pozemek"</f>
        <v>lesní pozemek</v>
      </c>
      <c r="E480" t="str">
        <f>"les jiný než hospodářský"</f>
        <v>les jiný než hospodářský</v>
      </c>
      <c r="F480" t="str">
        <f>"10001"</f>
        <v>10001</v>
      </c>
      <c r="G480" t="str">
        <f>"Statutární město Karviná"</f>
        <v>Statutární město Karviná</v>
      </c>
      <c r="H480" t="str">
        <f>"297534"</f>
        <v>297534</v>
      </c>
      <c r="I480" t="str">
        <f>"jiná právnická osoba (vč. obce a kraje)"</f>
        <v>jiná právnická osoba (vč. obce a kraje)</v>
      </c>
      <c r="J480" t="str">
        <f>"OPO"</f>
        <v>OPO</v>
      </c>
      <c r="K480" t="str">
        <f>"1"</f>
        <v>1</v>
      </c>
      <c r="L480" t="str">
        <f>"Vlastnické právo"</f>
        <v>Vlastnické právo</v>
      </c>
    </row>
    <row r="481" spans="1:12" x14ac:dyDescent="0.25">
      <c r="A481" t="str">
        <f>"Darkov"</f>
        <v>Darkov</v>
      </c>
      <c r="B481" t="str">
        <f>"1175/3"</f>
        <v>1175/3</v>
      </c>
      <c r="C481" t="str">
        <f>"72"</f>
        <v>72</v>
      </c>
      <c r="D481" t="str">
        <f>"lesní pozemek"</f>
        <v>lesní pozemek</v>
      </c>
      <c r="E481" t="str">
        <f>"les jiný než hospodářský"</f>
        <v>les jiný než hospodářský</v>
      </c>
      <c r="F481" t="str">
        <f>"10001"</f>
        <v>10001</v>
      </c>
      <c r="G481" t="str">
        <f>"Statutární město Karviná"</f>
        <v>Statutární město Karviná</v>
      </c>
      <c r="H481" t="str">
        <f>"297534"</f>
        <v>297534</v>
      </c>
      <c r="I481" t="str">
        <f>"jiná právnická osoba (vč. obce a kraje)"</f>
        <v>jiná právnická osoba (vč. obce a kraje)</v>
      </c>
      <c r="J481" t="str">
        <f>"OPO"</f>
        <v>OPO</v>
      </c>
      <c r="K481" t="str">
        <f>"1"</f>
        <v>1</v>
      </c>
      <c r="L481" t="str">
        <f>"Vlastnické právo"</f>
        <v>Vlastnické právo</v>
      </c>
    </row>
    <row r="482" spans="1:12" x14ac:dyDescent="0.25">
      <c r="A482" t="str">
        <f>"Darkov"</f>
        <v>Darkov</v>
      </c>
      <c r="B482" t="str">
        <f>"1176/1"</f>
        <v>1176/1</v>
      </c>
      <c r="C482" t="str">
        <f>"5988"</f>
        <v>5988</v>
      </c>
      <c r="D482" t="str">
        <f>"lesní pozemek"</f>
        <v>lesní pozemek</v>
      </c>
      <c r="E482" t="str">
        <f>""</f>
        <v/>
      </c>
      <c r="F482" t="str">
        <f>"10001"</f>
        <v>10001</v>
      </c>
      <c r="G482" t="str">
        <f>"Statutární město Karviná"</f>
        <v>Statutární město Karviná</v>
      </c>
      <c r="H482" t="str">
        <f>"297534"</f>
        <v>297534</v>
      </c>
      <c r="I482" t="str">
        <f>"jiná právnická osoba (vč. obce a kraje)"</f>
        <v>jiná právnická osoba (vč. obce a kraje)</v>
      </c>
      <c r="J482" t="str">
        <f>"OPO"</f>
        <v>OPO</v>
      </c>
      <c r="K482" t="str">
        <f>"1"</f>
        <v>1</v>
      </c>
      <c r="L482" t="str">
        <f>"Vlastnické právo"</f>
        <v>Vlastnické právo</v>
      </c>
    </row>
    <row r="483" spans="1:12" x14ac:dyDescent="0.25">
      <c r="A483" t="str">
        <f>"Darkov"</f>
        <v>Darkov</v>
      </c>
      <c r="B483" t="str">
        <f>"1176/3"</f>
        <v>1176/3</v>
      </c>
      <c r="C483" t="str">
        <f>"5775"</f>
        <v>5775</v>
      </c>
      <c r="D483" t="str">
        <f>"lesní pozemek"</f>
        <v>lesní pozemek</v>
      </c>
      <c r="E483" t="str">
        <f>""</f>
        <v/>
      </c>
      <c r="F483" t="str">
        <f>"10001"</f>
        <v>10001</v>
      </c>
      <c r="G483" t="str">
        <f>"Statutární město Karviná"</f>
        <v>Statutární město Karviná</v>
      </c>
      <c r="H483" t="str">
        <f>"297534"</f>
        <v>297534</v>
      </c>
      <c r="I483" t="str">
        <f>"jiná právnická osoba (vč. obce a kraje)"</f>
        <v>jiná právnická osoba (vč. obce a kraje)</v>
      </c>
      <c r="J483" t="str">
        <f>"OPO"</f>
        <v>OPO</v>
      </c>
      <c r="K483" t="str">
        <f>"1"</f>
        <v>1</v>
      </c>
      <c r="L483" t="str">
        <f>"Vlastnické právo"</f>
        <v>Vlastnické právo</v>
      </c>
    </row>
    <row r="484" spans="1:12" x14ac:dyDescent="0.25">
      <c r="A484" t="str">
        <f>"Darkov"</f>
        <v>Darkov</v>
      </c>
      <c r="B484" t="str">
        <f>"1178/1"</f>
        <v>1178/1</v>
      </c>
      <c r="C484" t="str">
        <f>"8897"</f>
        <v>8897</v>
      </c>
      <c r="D484" t="str">
        <f>"lesní pozemek"</f>
        <v>lesní pozemek</v>
      </c>
      <c r="E484" t="str">
        <f>"les jiný než hospodářský"</f>
        <v>les jiný než hospodářský</v>
      </c>
      <c r="F484" t="str">
        <f>"10001"</f>
        <v>10001</v>
      </c>
      <c r="G484" t="str">
        <f>"Statutární město Karviná"</f>
        <v>Statutární město Karviná</v>
      </c>
      <c r="H484" t="str">
        <f>"297534"</f>
        <v>297534</v>
      </c>
      <c r="I484" t="str">
        <f>"jiná právnická osoba (vč. obce a kraje)"</f>
        <v>jiná právnická osoba (vč. obce a kraje)</v>
      </c>
      <c r="J484" t="str">
        <f>"OPO"</f>
        <v>OPO</v>
      </c>
      <c r="K484" t="str">
        <f>"1"</f>
        <v>1</v>
      </c>
      <c r="L484" t="str">
        <f>"Vlastnické právo"</f>
        <v>Vlastnické právo</v>
      </c>
    </row>
    <row r="485" spans="1:12" x14ac:dyDescent="0.25">
      <c r="A485" t="str">
        <f>"Darkov"</f>
        <v>Darkov</v>
      </c>
      <c r="B485" t="str">
        <f>"1178/2"</f>
        <v>1178/2</v>
      </c>
      <c r="C485" t="str">
        <f>"3807"</f>
        <v>3807</v>
      </c>
      <c r="D485" t="str">
        <f>"lesní pozemek"</f>
        <v>lesní pozemek</v>
      </c>
      <c r="E485" t="str">
        <f>"les jiný než hospodářský"</f>
        <v>les jiný než hospodářský</v>
      </c>
      <c r="F485" t="str">
        <f>"10001"</f>
        <v>10001</v>
      </c>
      <c r="G485" t="str">
        <f>"Statutární město Karviná"</f>
        <v>Statutární město Karviná</v>
      </c>
      <c r="H485" t="str">
        <f>"297534"</f>
        <v>297534</v>
      </c>
      <c r="I485" t="str">
        <f>"jiná právnická osoba (vč. obce a kraje)"</f>
        <v>jiná právnická osoba (vč. obce a kraje)</v>
      </c>
      <c r="J485" t="str">
        <f>"OPO"</f>
        <v>OPO</v>
      </c>
      <c r="K485" t="str">
        <f>"1"</f>
        <v>1</v>
      </c>
      <c r="L485" t="str">
        <f>"Vlastnické právo"</f>
        <v>Vlastnické právo</v>
      </c>
    </row>
    <row r="486" spans="1:12" x14ac:dyDescent="0.25">
      <c r="A486" t="str">
        <f>"Darkov"</f>
        <v>Darkov</v>
      </c>
      <c r="B486" t="str">
        <f>"1188/2"</f>
        <v>1188/2</v>
      </c>
      <c r="C486" t="str">
        <f>"1349"</f>
        <v>1349</v>
      </c>
      <c r="D486" t="str">
        <f>"lesní pozemek"</f>
        <v>lesní pozemek</v>
      </c>
      <c r="E486" t="str">
        <f>""</f>
        <v/>
      </c>
      <c r="F486" t="str">
        <f>"10001"</f>
        <v>10001</v>
      </c>
      <c r="G486" t="str">
        <f>"Statutární město Karviná"</f>
        <v>Statutární město Karviná</v>
      </c>
      <c r="H486" t="str">
        <f>"297534"</f>
        <v>297534</v>
      </c>
      <c r="I486" t="str">
        <f>"jiná právnická osoba (vč. obce a kraje)"</f>
        <v>jiná právnická osoba (vč. obce a kraje)</v>
      </c>
      <c r="J486" t="str">
        <f>"OPO"</f>
        <v>OPO</v>
      </c>
      <c r="K486" t="str">
        <f>"1"</f>
        <v>1</v>
      </c>
      <c r="L486" t="str">
        <f>"Vlastnické právo"</f>
        <v>Vlastnické právo</v>
      </c>
    </row>
    <row r="487" spans="1:12" x14ac:dyDescent="0.25">
      <c r="A487" t="str">
        <f>"Darkov"</f>
        <v>Darkov</v>
      </c>
      <c r="B487" t="str">
        <f>"1382/1"</f>
        <v>1382/1</v>
      </c>
      <c r="C487" t="str">
        <f>"643"</f>
        <v>643</v>
      </c>
      <c r="D487" t="str">
        <f>"lesní pozemek"</f>
        <v>lesní pozemek</v>
      </c>
      <c r="E487" t="str">
        <f>"les jiný než hospodářský"</f>
        <v>les jiný než hospodářský</v>
      </c>
      <c r="F487" t="str">
        <f>"10001"</f>
        <v>10001</v>
      </c>
      <c r="G487" t="str">
        <f>"Statutární město Karviná"</f>
        <v>Statutární město Karviná</v>
      </c>
      <c r="H487" t="str">
        <f>"297534"</f>
        <v>297534</v>
      </c>
      <c r="I487" t="str">
        <f>"jiná právnická osoba (vč. obce a kraje)"</f>
        <v>jiná právnická osoba (vč. obce a kraje)</v>
      </c>
      <c r="J487" t="str">
        <f>"OPO"</f>
        <v>OPO</v>
      </c>
      <c r="K487" t="str">
        <f>"1"</f>
        <v>1</v>
      </c>
      <c r="L487" t="str">
        <f>"Vlastnické právo"</f>
        <v>Vlastnické právo</v>
      </c>
    </row>
    <row r="488" spans="1:12" x14ac:dyDescent="0.25">
      <c r="A488" t="str">
        <f>"Darkov"</f>
        <v>Darkov</v>
      </c>
      <c r="B488" t="str">
        <f>"1382/2"</f>
        <v>1382/2</v>
      </c>
      <c r="C488" t="str">
        <f>"209"</f>
        <v>209</v>
      </c>
      <c r="D488" t="str">
        <f>"lesní pozemek"</f>
        <v>lesní pozemek</v>
      </c>
      <c r="E488" t="str">
        <f>"les jiný než hospodářský"</f>
        <v>les jiný než hospodářský</v>
      </c>
      <c r="F488" t="str">
        <f>"10001"</f>
        <v>10001</v>
      </c>
      <c r="G488" t="str">
        <f>"Statutární město Karviná"</f>
        <v>Statutární město Karviná</v>
      </c>
      <c r="H488" t="str">
        <f>"297534"</f>
        <v>297534</v>
      </c>
      <c r="I488" t="str">
        <f>"jiná právnická osoba (vč. obce a kraje)"</f>
        <v>jiná právnická osoba (vč. obce a kraje)</v>
      </c>
      <c r="J488" t="str">
        <f>"OPO"</f>
        <v>OPO</v>
      </c>
      <c r="K488" t="str">
        <f>"1"</f>
        <v>1</v>
      </c>
      <c r="L488" t="str">
        <f>"Vlastnické právo"</f>
        <v>Vlastnické právo</v>
      </c>
    </row>
    <row r="489" spans="1:12" x14ac:dyDescent="0.25">
      <c r="A489" t="str">
        <f>"Darkov"</f>
        <v>Darkov</v>
      </c>
      <c r="B489" t="str">
        <f>"1385/2"</f>
        <v>1385/2</v>
      </c>
      <c r="C489" t="str">
        <f>"690"</f>
        <v>690</v>
      </c>
      <c r="D489" t="str">
        <f>"lesní pozemek"</f>
        <v>lesní pozemek</v>
      </c>
      <c r="E489" t="str">
        <f>"les jiný než hospodářský"</f>
        <v>les jiný než hospodářský</v>
      </c>
      <c r="F489" t="str">
        <f>"10001"</f>
        <v>10001</v>
      </c>
      <c r="G489" t="str">
        <f>"Statutární město Karviná"</f>
        <v>Statutární město Karviná</v>
      </c>
      <c r="H489" t="str">
        <f>"297534"</f>
        <v>297534</v>
      </c>
      <c r="I489" t="str">
        <f>"jiná právnická osoba (vč. obce a kraje)"</f>
        <v>jiná právnická osoba (vč. obce a kraje)</v>
      </c>
      <c r="J489" t="str">
        <f>"OPO"</f>
        <v>OPO</v>
      </c>
      <c r="K489" t="str">
        <f>"1"</f>
        <v>1</v>
      </c>
      <c r="L489" t="str">
        <f>"Vlastnické právo"</f>
        <v>Vlastnické právo</v>
      </c>
    </row>
    <row r="490" spans="1:12" x14ac:dyDescent="0.25">
      <c r="A490" t="str">
        <f>"Darkov"</f>
        <v>Darkov</v>
      </c>
      <c r="B490" t="str">
        <f>"1385/3"</f>
        <v>1385/3</v>
      </c>
      <c r="C490" t="str">
        <f>"921"</f>
        <v>921</v>
      </c>
      <c r="D490" t="str">
        <f>"lesní pozemek"</f>
        <v>lesní pozemek</v>
      </c>
      <c r="E490" t="str">
        <f>"les jiný než hospodářský"</f>
        <v>les jiný než hospodářský</v>
      </c>
      <c r="F490" t="str">
        <f>"10001"</f>
        <v>10001</v>
      </c>
      <c r="G490" t="str">
        <f>"Statutární město Karviná"</f>
        <v>Statutární město Karviná</v>
      </c>
      <c r="H490" t="str">
        <f>"297534"</f>
        <v>297534</v>
      </c>
      <c r="I490" t="str">
        <f>"jiná právnická osoba (vč. obce a kraje)"</f>
        <v>jiná právnická osoba (vč. obce a kraje)</v>
      </c>
      <c r="J490" t="str">
        <f>"OPO"</f>
        <v>OPO</v>
      </c>
      <c r="K490" t="str">
        <f>"1"</f>
        <v>1</v>
      </c>
      <c r="L490" t="str">
        <f>"Vlastnické právo"</f>
        <v>Vlastnické právo</v>
      </c>
    </row>
    <row r="491" spans="1:12" x14ac:dyDescent="0.25">
      <c r="A491" t="str">
        <f>"Darkov"</f>
        <v>Darkov</v>
      </c>
      <c r="B491" t="str">
        <f>"1386/1"</f>
        <v>1386/1</v>
      </c>
      <c r="C491" t="str">
        <f>"3325"</f>
        <v>3325</v>
      </c>
      <c r="D491" t="str">
        <f>"lesní pozemek"</f>
        <v>lesní pozemek</v>
      </c>
      <c r="E491" t="str">
        <f>"les jiný než hospodářský"</f>
        <v>les jiný než hospodářský</v>
      </c>
      <c r="F491" t="str">
        <f>"10001"</f>
        <v>10001</v>
      </c>
      <c r="G491" t="str">
        <f>"Statutární město Karviná"</f>
        <v>Statutární město Karviná</v>
      </c>
      <c r="H491" t="str">
        <f>"297534"</f>
        <v>297534</v>
      </c>
      <c r="I491" t="str">
        <f>"jiná právnická osoba (vč. obce a kraje)"</f>
        <v>jiná právnická osoba (vč. obce a kraje)</v>
      </c>
      <c r="J491" t="str">
        <f>"OPO"</f>
        <v>OPO</v>
      </c>
      <c r="K491" t="str">
        <f>"1"</f>
        <v>1</v>
      </c>
      <c r="L491" t="str">
        <f>"Vlastnické právo"</f>
        <v>Vlastnické právo</v>
      </c>
    </row>
    <row r="492" spans="1:12" x14ac:dyDescent="0.25">
      <c r="A492" t="str">
        <f>"Darkov"</f>
        <v>Darkov</v>
      </c>
      <c r="B492" t="str">
        <f>"1386/3"</f>
        <v>1386/3</v>
      </c>
      <c r="C492" t="str">
        <f>"567"</f>
        <v>567</v>
      </c>
      <c r="D492" t="str">
        <f>"lesní pozemek"</f>
        <v>lesní pozemek</v>
      </c>
      <c r="E492" t="str">
        <f>"les jiný než hospodářský"</f>
        <v>les jiný než hospodářský</v>
      </c>
      <c r="F492" t="str">
        <f>"10001"</f>
        <v>10001</v>
      </c>
      <c r="G492" t="str">
        <f>"Statutární město Karviná"</f>
        <v>Statutární město Karviná</v>
      </c>
      <c r="H492" t="str">
        <f>"297534"</f>
        <v>297534</v>
      </c>
      <c r="I492" t="str">
        <f>"jiná právnická osoba (vč. obce a kraje)"</f>
        <v>jiná právnická osoba (vč. obce a kraje)</v>
      </c>
      <c r="J492" t="str">
        <f>"OPO"</f>
        <v>OPO</v>
      </c>
      <c r="K492" t="str">
        <f>"1"</f>
        <v>1</v>
      </c>
      <c r="L492" t="str">
        <f>"Vlastnické právo"</f>
        <v>Vlastnické právo</v>
      </c>
    </row>
    <row r="493" spans="1:12" x14ac:dyDescent="0.25">
      <c r="A493" t="str">
        <f>"Darkov"</f>
        <v>Darkov</v>
      </c>
      <c r="B493" t="str">
        <f>"1386/4"</f>
        <v>1386/4</v>
      </c>
      <c r="C493" t="str">
        <f>"695"</f>
        <v>695</v>
      </c>
      <c r="D493" t="str">
        <f>"lesní pozemek"</f>
        <v>lesní pozemek</v>
      </c>
      <c r="E493" t="str">
        <f>"les jiný než hospodářský"</f>
        <v>les jiný než hospodářský</v>
      </c>
      <c r="F493" t="str">
        <f>"10001"</f>
        <v>10001</v>
      </c>
      <c r="G493" t="str">
        <f>"Statutární město Karviná"</f>
        <v>Statutární město Karviná</v>
      </c>
      <c r="H493" t="str">
        <f>"297534"</f>
        <v>297534</v>
      </c>
      <c r="I493" t="str">
        <f>"jiná právnická osoba (vč. obce a kraje)"</f>
        <v>jiná právnická osoba (vč. obce a kraje)</v>
      </c>
      <c r="J493" t="str">
        <f>"OPO"</f>
        <v>OPO</v>
      </c>
      <c r="K493" t="str">
        <f>"1"</f>
        <v>1</v>
      </c>
      <c r="L493" t="str">
        <f>"Vlastnické právo"</f>
        <v>Vlastnické právo</v>
      </c>
    </row>
    <row r="494" spans="1:12" x14ac:dyDescent="0.25">
      <c r="A494" t="str">
        <f>"Darkov"</f>
        <v>Darkov</v>
      </c>
      <c r="B494" t="str">
        <f>"1386/5"</f>
        <v>1386/5</v>
      </c>
      <c r="C494" t="str">
        <f>"58"</f>
        <v>58</v>
      </c>
      <c r="D494" t="str">
        <f>"lesní pozemek"</f>
        <v>lesní pozemek</v>
      </c>
      <c r="E494" t="str">
        <f>"les jiný než hospodářský"</f>
        <v>les jiný než hospodářský</v>
      </c>
      <c r="F494" t="str">
        <f>"10001"</f>
        <v>10001</v>
      </c>
      <c r="G494" t="str">
        <f>"Statutární město Karviná"</f>
        <v>Statutární město Karviná</v>
      </c>
      <c r="H494" t="str">
        <f>"297534"</f>
        <v>297534</v>
      </c>
      <c r="I494" t="str">
        <f>"jiná právnická osoba (vč. obce a kraje)"</f>
        <v>jiná právnická osoba (vč. obce a kraje)</v>
      </c>
      <c r="J494" t="str">
        <f>"OPO"</f>
        <v>OPO</v>
      </c>
      <c r="K494" t="str">
        <f>"1"</f>
        <v>1</v>
      </c>
      <c r="L494" t="str">
        <f>"Vlastnické právo"</f>
        <v>Vlastnické právo</v>
      </c>
    </row>
    <row r="495" spans="1:12" x14ac:dyDescent="0.25">
      <c r="A495" t="str">
        <f>"Darkov"</f>
        <v>Darkov</v>
      </c>
      <c r="B495" t="str">
        <f>"1386/6"</f>
        <v>1386/6</v>
      </c>
      <c r="C495" t="str">
        <f>"268"</f>
        <v>268</v>
      </c>
      <c r="D495" t="str">
        <f>"lesní pozemek"</f>
        <v>lesní pozemek</v>
      </c>
      <c r="E495" t="str">
        <f>"les jiný než hospodářský"</f>
        <v>les jiný než hospodářský</v>
      </c>
      <c r="F495" t="str">
        <f>"10001"</f>
        <v>10001</v>
      </c>
      <c r="G495" t="str">
        <f>"Statutární město Karviná"</f>
        <v>Statutární město Karviná</v>
      </c>
      <c r="H495" t="str">
        <f>"297534"</f>
        <v>297534</v>
      </c>
      <c r="I495" t="str">
        <f>"jiná právnická osoba (vč. obce a kraje)"</f>
        <v>jiná právnická osoba (vč. obce a kraje)</v>
      </c>
      <c r="J495" t="str">
        <f>"OPO"</f>
        <v>OPO</v>
      </c>
      <c r="K495" t="str">
        <f>"1"</f>
        <v>1</v>
      </c>
      <c r="L495" t="str">
        <f>"Vlastnické právo"</f>
        <v>Vlastnické právo</v>
      </c>
    </row>
    <row r="496" spans="1:12" x14ac:dyDescent="0.25">
      <c r="A496" t="str">
        <f>"Darkov"</f>
        <v>Darkov</v>
      </c>
      <c r="B496" t="str">
        <f>"1386/8"</f>
        <v>1386/8</v>
      </c>
      <c r="C496" t="str">
        <f>"1169"</f>
        <v>1169</v>
      </c>
      <c r="D496" t="str">
        <f>"lesní pozemek"</f>
        <v>lesní pozemek</v>
      </c>
      <c r="E496" t="str">
        <f>"les jiný než hospodářský"</f>
        <v>les jiný než hospodářský</v>
      </c>
      <c r="F496" t="str">
        <f>"10001"</f>
        <v>10001</v>
      </c>
      <c r="G496" t="str">
        <f>"Statutární město Karviná"</f>
        <v>Statutární město Karviná</v>
      </c>
      <c r="H496" t="str">
        <f>"297534"</f>
        <v>297534</v>
      </c>
      <c r="I496" t="str">
        <f>"jiná právnická osoba (vč. obce a kraje)"</f>
        <v>jiná právnická osoba (vč. obce a kraje)</v>
      </c>
      <c r="J496" t="str">
        <f>"OPO"</f>
        <v>OPO</v>
      </c>
      <c r="K496" t="str">
        <f>"1"</f>
        <v>1</v>
      </c>
      <c r="L496" t="str">
        <f>"Vlastnické právo"</f>
        <v>Vlastnické právo</v>
      </c>
    </row>
    <row r="497" spans="1:12" x14ac:dyDescent="0.25">
      <c r="A497" t="str">
        <f>"Darkov"</f>
        <v>Darkov</v>
      </c>
      <c r="B497" t="str">
        <f>"1386/9"</f>
        <v>1386/9</v>
      </c>
      <c r="C497" t="str">
        <f>"1938"</f>
        <v>1938</v>
      </c>
      <c r="D497" t="str">
        <f>"lesní pozemek"</f>
        <v>lesní pozemek</v>
      </c>
      <c r="E497" t="str">
        <f>"les jiný než hospodářský"</f>
        <v>les jiný než hospodářský</v>
      </c>
      <c r="F497" t="str">
        <f>"10001"</f>
        <v>10001</v>
      </c>
      <c r="G497" t="str">
        <f>"Statutární město Karviná"</f>
        <v>Statutární město Karviná</v>
      </c>
      <c r="H497" t="str">
        <f>"297534"</f>
        <v>297534</v>
      </c>
      <c r="I497" t="str">
        <f>"jiná právnická osoba (vč. obce a kraje)"</f>
        <v>jiná právnická osoba (vč. obce a kraje)</v>
      </c>
      <c r="J497" t="str">
        <f>"OPO"</f>
        <v>OPO</v>
      </c>
      <c r="K497" t="str">
        <f>"1"</f>
        <v>1</v>
      </c>
      <c r="L497" t="str">
        <f>"Vlastnické právo"</f>
        <v>Vlastnické právo</v>
      </c>
    </row>
    <row r="498" spans="1:12" x14ac:dyDescent="0.25">
      <c r="A498" t="str">
        <f>"Darkov"</f>
        <v>Darkov</v>
      </c>
      <c r="B498" t="str">
        <f>"1386/10"</f>
        <v>1386/10</v>
      </c>
      <c r="C498" t="str">
        <f>"853"</f>
        <v>853</v>
      </c>
      <c r="D498" t="str">
        <f>"lesní pozemek"</f>
        <v>lesní pozemek</v>
      </c>
      <c r="E498" t="str">
        <f>"les jiný než hospodářský"</f>
        <v>les jiný než hospodářský</v>
      </c>
      <c r="F498" t="str">
        <f>"10001"</f>
        <v>10001</v>
      </c>
      <c r="G498" t="str">
        <f>"Statutární město Karviná"</f>
        <v>Statutární město Karviná</v>
      </c>
      <c r="H498" t="str">
        <f>"297534"</f>
        <v>297534</v>
      </c>
      <c r="I498" t="str">
        <f>"jiná právnická osoba (vč. obce a kraje)"</f>
        <v>jiná právnická osoba (vč. obce a kraje)</v>
      </c>
      <c r="J498" t="str">
        <f>"OPO"</f>
        <v>OPO</v>
      </c>
      <c r="K498" t="str">
        <f>"1"</f>
        <v>1</v>
      </c>
      <c r="L498" t="str">
        <f>"Vlastnické právo"</f>
        <v>Vlastnické právo</v>
      </c>
    </row>
    <row r="499" spans="1:12" x14ac:dyDescent="0.25">
      <c r="A499" t="str">
        <f>"Darkov"</f>
        <v>Darkov</v>
      </c>
      <c r="B499" t="str">
        <f>"1386/11"</f>
        <v>1386/11</v>
      </c>
      <c r="C499" t="str">
        <f>"1077"</f>
        <v>1077</v>
      </c>
      <c r="D499" t="str">
        <f>"lesní pozemek"</f>
        <v>lesní pozemek</v>
      </c>
      <c r="E499" t="str">
        <f>"les jiný než hospodářský"</f>
        <v>les jiný než hospodářský</v>
      </c>
      <c r="F499" t="str">
        <f>"10001"</f>
        <v>10001</v>
      </c>
      <c r="G499" t="str">
        <f>"Statutární město Karviná"</f>
        <v>Statutární město Karviná</v>
      </c>
      <c r="H499" t="str">
        <f>"297534"</f>
        <v>297534</v>
      </c>
      <c r="I499" t="str">
        <f>"jiná právnická osoba (vč. obce a kraje)"</f>
        <v>jiná právnická osoba (vč. obce a kraje)</v>
      </c>
      <c r="J499" t="str">
        <f>"OPO"</f>
        <v>OPO</v>
      </c>
      <c r="K499" t="str">
        <f>"1"</f>
        <v>1</v>
      </c>
      <c r="L499" t="str">
        <f>"Vlastnické právo"</f>
        <v>Vlastnické právo</v>
      </c>
    </row>
    <row r="500" spans="1:12" x14ac:dyDescent="0.25">
      <c r="A500" t="str">
        <f>"Darkov"</f>
        <v>Darkov</v>
      </c>
      <c r="B500" t="str">
        <f>"1386/12"</f>
        <v>1386/12</v>
      </c>
      <c r="C500" t="str">
        <f>"1714"</f>
        <v>1714</v>
      </c>
      <c r="D500" t="str">
        <f>"lesní pozemek"</f>
        <v>lesní pozemek</v>
      </c>
      <c r="E500" t="str">
        <f>"les jiný než hospodářský"</f>
        <v>les jiný než hospodářský</v>
      </c>
      <c r="F500" t="str">
        <f>"10001"</f>
        <v>10001</v>
      </c>
      <c r="G500" t="str">
        <f>"Statutární město Karviná"</f>
        <v>Statutární město Karviná</v>
      </c>
      <c r="H500" t="str">
        <f>"297534"</f>
        <v>297534</v>
      </c>
      <c r="I500" t="str">
        <f>"jiná právnická osoba (vč. obce a kraje)"</f>
        <v>jiná právnická osoba (vč. obce a kraje)</v>
      </c>
      <c r="J500" t="str">
        <f>"OPO"</f>
        <v>OPO</v>
      </c>
      <c r="K500" t="str">
        <f>"1"</f>
        <v>1</v>
      </c>
      <c r="L500" t="str">
        <f>"Vlastnické právo"</f>
        <v>Vlastnické právo</v>
      </c>
    </row>
    <row r="501" spans="1:12" x14ac:dyDescent="0.25">
      <c r="A501" t="str">
        <f>"Darkov"</f>
        <v>Darkov</v>
      </c>
      <c r="B501" t="str">
        <f>"1386/15"</f>
        <v>1386/15</v>
      </c>
      <c r="C501" t="str">
        <f>"989"</f>
        <v>989</v>
      </c>
      <c r="D501" t="str">
        <f>"lesní pozemek"</f>
        <v>lesní pozemek</v>
      </c>
      <c r="E501" t="str">
        <f>"les jiný než hospodářský"</f>
        <v>les jiný než hospodářský</v>
      </c>
      <c r="F501" t="str">
        <f>"10001"</f>
        <v>10001</v>
      </c>
      <c r="G501" t="str">
        <f>"Statutární město Karviná"</f>
        <v>Statutární město Karviná</v>
      </c>
      <c r="H501" t="str">
        <f>"297534"</f>
        <v>297534</v>
      </c>
      <c r="I501" t="str">
        <f>"jiná právnická osoba (vč. obce a kraje)"</f>
        <v>jiná právnická osoba (vč. obce a kraje)</v>
      </c>
      <c r="J501" t="str">
        <f>"OPO"</f>
        <v>OPO</v>
      </c>
      <c r="K501" t="str">
        <f>"1"</f>
        <v>1</v>
      </c>
      <c r="L501" t="str">
        <f>"Vlastnické právo"</f>
        <v>Vlastnické právo</v>
      </c>
    </row>
    <row r="502" spans="1:12" x14ac:dyDescent="0.25">
      <c r="A502" t="str">
        <f>"Darkov"</f>
        <v>Darkov</v>
      </c>
      <c r="B502" t="str">
        <f>"1386/16"</f>
        <v>1386/16</v>
      </c>
      <c r="C502" t="str">
        <f>"2213"</f>
        <v>2213</v>
      </c>
      <c r="D502" t="str">
        <f>"lesní pozemek"</f>
        <v>lesní pozemek</v>
      </c>
      <c r="E502" t="str">
        <f>"les jiný než hospodářský"</f>
        <v>les jiný než hospodářský</v>
      </c>
      <c r="F502" t="str">
        <f>"10001"</f>
        <v>10001</v>
      </c>
      <c r="G502" t="str">
        <f>"Statutární město Karviná"</f>
        <v>Statutární město Karviná</v>
      </c>
      <c r="H502" t="str">
        <f>"297534"</f>
        <v>297534</v>
      </c>
      <c r="I502" t="str">
        <f>"jiná právnická osoba (vč. obce a kraje)"</f>
        <v>jiná právnická osoba (vč. obce a kraje)</v>
      </c>
      <c r="J502" t="str">
        <f>"OPO"</f>
        <v>OPO</v>
      </c>
      <c r="K502" t="str">
        <f>"1"</f>
        <v>1</v>
      </c>
      <c r="L502" t="str">
        <f>"Vlastnické právo"</f>
        <v>Vlastnické právo</v>
      </c>
    </row>
    <row r="503" spans="1:12" x14ac:dyDescent="0.25">
      <c r="A503" t="str">
        <f>"Darkov"</f>
        <v>Darkov</v>
      </c>
      <c r="B503" t="str">
        <f>"1388"</f>
        <v>1388</v>
      </c>
      <c r="C503" t="str">
        <f>"304"</f>
        <v>304</v>
      </c>
      <c r="D503" t="str">
        <f>"lesní pozemek"</f>
        <v>lesní pozemek</v>
      </c>
      <c r="E503" t="str">
        <f>"les jiný než hospodářský"</f>
        <v>les jiný než hospodářský</v>
      </c>
      <c r="F503" t="str">
        <f>"10001"</f>
        <v>10001</v>
      </c>
      <c r="G503" t="str">
        <f>"Statutární město Karviná"</f>
        <v>Statutární město Karviná</v>
      </c>
      <c r="H503" t="str">
        <f>"297534"</f>
        <v>297534</v>
      </c>
      <c r="I503" t="str">
        <f>"jiná právnická osoba (vč. obce a kraje)"</f>
        <v>jiná právnická osoba (vč. obce a kraje)</v>
      </c>
      <c r="J503" t="str">
        <f>"OPO"</f>
        <v>OPO</v>
      </c>
      <c r="K503" t="str">
        <f>"1"</f>
        <v>1</v>
      </c>
      <c r="L503" t="str">
        <f>"Vlastnické právo"</f>
        <v>Vlastnické právo</v>
      </c>
    </row>
    <row r="504" spans="1:12" x14ac:dyDescent="0.25">
      <c r="A504" t="str">
        <f>"Darkov"</f>
        <v>Darkov</v>
      </c>
      <c r="B504" t="str">
        <f>"1389"</f>
        <v>1389</v>
      </c>
      <c r="C504" t="str">
        <f>"290"</f>
        <v>290</v>
      </c>
      <c r="D504" t="str">
        <f>"lesní pozemek"</f>
        <v>lesní pozemek</v>
      </c>
      <c r="E504" t="str">
        <f>"les jiný než hospodářský"</f>
        <v>les jiný než hospodářský</v>
      </c>
      <c r="F504" t="str">
        <f>"10001"</f>
        <v>10001</v>
      </c>
      <c r="G504" t="str">
        <f>"Statutární město Karviná"</f>
        <v>Statutární město Karviná</v>
      </c>
      <c r="H504" t="str">
        <f>"297534"</f>
        <v>297534</v>
      </c>
      <c r="I504" t="str">
        <f>"jiná právnická osoba (vč. obce a kraje)"</f>
        <v>jiná právnická osoba (vč. obce a kraje)</v>
      </c>
      <c r="J504" t="str">
        <f>"OPO"</f>
        <v>OPO</v>
      </c>
      <c r="K504" t="str">
        <f>"1"</f>
        <v>1</v>
      </c>
      <c r="L504" t="str">
        <f>"Vlastnické právo"</f>
        <v>Vlastnické právo</v>
      </c>
    </row>
    <row r="505" spans="1:12" x14ac:dyDescent="0.25">
      <c r="A505" t="str">
        <f>"Darkov"</f>
        <v>Darkov</v>
      </c>
      <c r="B505" t="str">
        <f>"1390"</f>
        <v>1390</v>
      </c>
      <c r="C505" t="str">
        <f>"1552"</f>
        <v>1552</v>
      </c>
      <c r="D505" t="str">
        <f>"lesní pozemek"</f>
        <v>lesní pozemek</v>
      </c>
      <c r="E505" t="str">
        <f>"les jiný než hospodářský"</f>
        <v>les jiný než hospodářský</v>
      </c>
      <c r="F505" t="str">
        <f>"10001"</f>
        <v>10001</v>
      </c>
      <c r="G505" t="str">
        <f>"Statutární město Karviná"</f>
        <v>Statutární město Karviná</v>
      </c>
      <c r="H505" t="str">
        <f>"297534"</f>
        <v>297534</v>
      </c>
      <c r="I505" t="str">
        <f>"jiná právnická osoba (vč. obce a kraje)"</f>
        <v>jiná právnická osoba (vč. obce a kraje)</v>
      </c>
      <c r="J505" t="str">
        <f>"OPO"</f>
        <v>OPO</v>
      </c>
      <c r="K505" t="str">
        <f>"1"</f>
        <v>1</v>
      </c>
      <c r="L505" t="str">
        <f>"Vlastnické právo"</f>
        <v>Vlastnické právo</v>
      </c>
    </row>
    <row r="506" spans="1:12" x14ac:dyDescent="0.25">
      <c r="A506" t="str">
        <f>"Darkov"</f>
        <v>Darkov</v>
      </c>
      <c r="B506" t="str">
        <f>"1391"</f>
        <v>1391</v>
      </c>
      <c r="C506" t="str">
        <f>"230"</f>
        <v>230</v>
      </c>
      <c r="D506" t="str">
        <f>"lesní pozemek"</f>
        <v>lesní pozemek</v>
      </c>
      <c r="E506" t="str">
        <f>"les jiný než hospodářský"</f>
        <v>les jiný než hospodářský</v>
      </c>
      <c r="F506" t="str">
        <f>"10001"</f>
        <v>10001</v>
      </c>
      <c r="G506" t="str">
        <f>"Statutární město Karviná"</f>
        <v>Statutární město Karviná</v>
      </c>
      <c r="H506" t="str">
        <f>"297534"</f>
        <v>297534</v>
      </c>
      <c r="I506" t="str">
        <f>"jiná právnická osoba (vč. obce a kraje)"</f>
        <v>jiná právnická osoba (vč. obce a kraje)</v>
      </c>
      <c r="J506" t="str">
        <f>"OPO"</f>
        <v>OPO</v>
      </c>
      <c r="K506" t="str">
        <f>"1"</f>
        <v>1</v>
      </c>
      <c r="L506" t="str">
        <f>"Vlastnické právo"</f>
        <v>Vlastnické právo</v>
      </c>
    </row>
    <row r="507" spans="1:12" x14ac:dyDescent="0.25">
      <c r="A507" t="str">
        <f>"Darkov"</f>
        <v>Darkov</v>
      </c>
      <c r="B507" t="str">
        <f>"1392/2"</f>
        <v>1392/2</v>
      </c>
      <c r="C507" t="str">
        <f>"412"</f>
        <v>412</v>
      </c>
      <c r="D507" t="str">
        <f>"lesní pozemek"</f>
        <v>lesní pozemek</v>
      </c>
      <c r="E507" t="str">
        <f>"les jiný než hospodářský"</f>
        <v>les jiný než hospodářský</v>
      </c>
      <c r="F507" t="str">
        <f>"10001"</f>
        <v>10001</v>
      </c>
      <c r="G507" t="str">
        <f>"Statutární město Karviná"</f>
        <v>Statutární město Karviná</v>
      </c>
      <c r="H507" t="str">
        <f>"297534"</f>
        <v>297534</v>
      </c>
      <c r="I507" t="str">
        <f>"jiná právnická osoba (vč. obce a kraje)"</f>
        <v>jiná právnická osoba (vč. obce a kraje)</v>
      </c>
      <c r="J507" t="str">
        <f>"OPO"</f>
        <v>OPO</v>
      </c>
      <c r="K507" t="str">
        <f>"1"</f>
        <v>1</v>
      </c>
      <c r="L507" t="str">
        <f>"Vlastnické právo"</f>
        <v>Vlastnické právo</v>
      </c>
    </row>
    <row r="508" spans="1:12" x14ac:dyDescent="0.25">
      <c r="A508" t="str">
        <f>"Darkov"</f>
        <v>Darkov</v>
      </c>
      <c r="B508" t="str">
        <f>"2392/6"</f>
        <v>2392/6</v>
      </c>
      <c r="C508" t="str">
        <f>"62"</f>
        <v>62</v>
      </c>
      <c r="D508" t="str">
        <f>"lesní pozemek"</f>
        <v>lesní pozemek</v>
      </c>
      <c r="E508" t="str">
        <f>""</f>
        <v/>
      </c>
      <c r="F508" t="str">
        <f>"10001"</f>
        <v>10001</v>
      </c>
      <c r="G508" t="str">
        <f>"Statutární město Karviná"</f>
        <v>Statutární město Karviná</v>
      </c>
      <c r="H508" t="str">
        <f>"297534"</f>
        <v>297534</v>
      </c>
      <c r="I508" t="str">
        <f>"jiná právnická osoba (vč. obce a kraje)"</f>
        <v>jiná právnická osoba (vč. obce a kraje)</v>
      </c>
      <c r="J508" t="str">
        <f>"OPO"</f>
        <v>OPO</v>
      </c>
      <c r="K508" t="str">
        <f>"1"</f>
        <v>1</v>
      </c>
      <c r="L508" t="str">
        <f>"Vlastnické právo"</f>
        <v>Vlastnické právo</v>
      </c>
    </row>
    <row r="509" spans="1:12" x14ac:dyDescent="0.25">
      <c r="A509" t="str">
        <f>"Darkov"</f>
        <v>Darkov</v>
      </c>
      <c r="B509" t="str">
        <f>"2405/5"</f>
        <v>2405/5</v>
      </c>
      <c r="C509" t="str">
        <f>"26"</f>
        <v>26</v>
      </c>
      <c r="D509" t="str">
        <f>"lesní pozemek"</f>
        <v>lesní pozemek</v>
      </c>
      <c r="E509" t="str">
        <f>""</f>
        <v/>
      </c>
      <c r="F509" t="str">
        <f>"10001"</f>
        <v>10001</v>
      </c>
      <c r="G509" t="str">
        <f>"Statutární město Karviná"</f>
        <v>Statutární město Karviná</v>
      </c>
      <c r="H509" t="str">
        <f>"297534"</f>
        <v>297534</v>
      </c>
      <c r="I509" t="str">
        <f>"jiná právnická osoba (vč. obce a kraje)"</f>
        <v>jiná právnická osoba (vč. obce a kraje)</v>
      </c>
      <c r="J509" t="str">
        <f>"OPO"</f>
        <v>OPO</v>
      </c>
      <c r="K509" t="str">
        <f>"1"</f>
        <v>1</v>
      </c>
      <c r="L509" t="str">
        <f>"Vlastnické právo"</f>
        <v>Vlastnické právo</v>
      </c>
    </row>
    <row r="510" spans="1:12" x14ac:dyDescent="0.25">
      <c r="A510" t="str">
        <f>"Darkov"</f>
        <v>Darkov</v>
      </c>
      <c r="B510" t="str">
        <f>"2410/3"</f>
        <v>2410/3</v>
      </c>
      <c r="C510" t="str">
        <f>"954"</f>
        <v>954</v>
      </c>
      <c r="D510" t="str">
        <f>"lesní pozemek"</f>
        <v>lesní pozemek</v>
      </c>
      <c r="E510" t="str">
        <f>"les jiný než hospodářský"</f>
        <v>les jiný než hospodářský</v>
      </c>
      <c r="F510" t="str">
        <f>"10001"</f>
        <v>10001</v>
      </c>
      <c r="G510" t="str">
        <f>"Statutární město Karviná"</f>
        <v>Statutární město Karviná</v>
      </c>
      <c r="H510" t="str">
        <f>"297534"</f>
        <v>297534</v>
      </c>
      <c r="I510" t="str">
        <f>"jiná právnická osoba (vč. obce a kraje)"</f>
        <v>jiná právnická osoba (vč. obce a kraje)</v>
      </c>
      <c r="J510" t="str">
        <f>"OPO"</f>
        <v>OPO</v>
      </c>
      <c r="K510" t="str">
        <f>"1"</f>
        <v>1</v>
      </c>
      <c r="L510" t="str">
        <f>"Vlastnické právo"</f>
        <v>Vlastnické právo</v>
      </c>
    </row>
    <row r="511" spans="1:12" x14ac:dyDescent="0.25">
      <c r="A511" t="str">
        <f>"Darkov"</f>
        <v>Darkov</v>
      </c>
      <c r="B511" t="str">
        <f>"2432/2"</f>
        <v>2432/2</v>
      </c>
      <c r="C511" t="str">
        <f>"574"</f>
        <v>574</v>
      </c>
      <c r="D511" t="str">
        <f>"lesní pozemek"</f>
        <v>lesní pozemek</v>
      </c>
      <c r="E511" t="str">
        <f>"les jiný než hospodářský"</f>
        <v>les jiný než hospodářský</v>
      </c>
      <c r="F511" t="str">
        <f>"10001"</f>
        <v>10001</v>
      </c>
      <c r="G511" t="str">
        <f>"Statutární město Karviná"</f>
        <v>Statutární město Karviná</v>
      </c>
      <c r="H511" t="str">
        <f>"297534"</f>
        <v>297534</v>
      </c>
      <c r="I511" t="str">
        <f>"jiná právnická osoba (vč. obce a kraje)"</f>
        <v>jiná právnická osoba (vč. obce a kraje)</v>
      </c>
      <c r="J511" t="str">
        <f>"OPO"</f>
        <v>OPO</v>
      </c>
      <c r="K511" t="str">
        <f>"1"</f>
        <v>1</v>
      </c>
      <c r="L511" t="str">
        <f>"Vlastnické právo"</f>
        <v>Vlastnické právo</v>
      </c>
    </row>
    <row r="512" spans="1:12" x14ac:dyDescent="0.25">
      <c r="A512" t="str">
        <f>"Ráj"</f>
        <v>Ráj</v>
      </c>
      <c r="B512" t="str">
        <f>"407/1"</f>
        <v>407/1</v>
      </c>
      <c r="C512" t="str">
        <f>"565"</f>
        <v>565</v>
      </c>
      <c r="D512" t="str">
        <f>"lesní pozemek"</f>
        <v>lesní pozemek</v>
      </c>
      <c r="E512" t="str">
        <f>""</f>
        <v/>
      </c>
      <c r="F512" t="str">
        <f>"10001"</f>
        <v>10001</v>
      </c>
      <c r="G512" t="str">
        <f>"Statutární město Karviná"</f>
        <v>Statutární město Karviná</v>
      </c>
      <c r="H512" t="str">
        <f>"297534"</f>
        <v>297534</v>
      </c>
      <c r="I512" t="str">
        <f>"jiná právnická osoba (vč. obce a kraje)"</f>
        <v>jiná právnická osoba (vč. obce a kraje)</v>
      </c>
      <c r="J512" t="str">
        <f>"OPO"</f>
        <v>OPO</v>
      </c>
      <c r="K512" t="str">
        <f>"1"</f>
        <v>1</v>
      </c>
      <c r="L512" t="str">
        <f>"Vlastnické právo"</f>
        <v>Vlastnické právo</v>
      </c>
    </row>
    <row r="513" spans="1:12" x14ac:dyDescent="0.25">
      <c r="A513" t="str">
        <f>"Ráj"</f>
        <v>Ráj</v>
      </c>
      <c r="B513" t="str">
        <f>"854/1"</f>
        <v>854/1</v>
      </c>
      <c r="C513" t="str">
        <f>"3928"</f>
        <v>3928</v>
      </c>
      <c r="D513" t="str">
        <f>"lesní pozemek"</f>
        <v>lesní pozemek</v>
      </c>
      <c r="E513" t="str">
        <f>""</f>
        <v/>
      </c>
      <c r="F513" t="str">
        <f>"10001"</f>
        <v>10001</v>
      </c>
      <c r="G513" t="str">
        <f>"Statutární město Karviná"</f>
        <v>Statutární město Karviná</v>
      </c>
      <c r="H513" t="str">
        <f>"297534"</f>
        <v>297534</v>
      </c>
      <c r="I513" t="str">
        <f>"jiná právnická osoba (vč. obce a kraje)"</f>
        <v>jiná právnická osoba (vč. obce a kraje)</v>
      </c>
      <c r="J513" t="str">
        <f>"OPO"</f>
        <v>OPO</v>
      </c>
      <c r="K513" t="str">
        <f>"1"</f>
        <v>1</v>
      </c>
      <c r="L513" t="str">
        <f>"Vlastnické právo"</f>
        <v>Vlastnické právo</v>
      </c>
    </row>
    <row r="514" spans="1:12" x14ac:dyDescent="0.25">
      <c r="A514" t="str">
        <f>"Ráj"</f>
        <v>Ráj</v>
      </c>
      <c r="B514" t="str">
        <f>"854/7"</f>
        <v>854/7</v>
      </c>
      <c r="C514" t="str">
        <f>"67"</f>
        <v>67</v>
      </c>
      <c r="D514" t="str">
        <f>"lesní pozemek"</f>
        <v>lesní pozemek</v>
      </c>
      <c r="E514" t="str">
        <f>""</f>
        <v/>
      </c>
      <c r="F514" t="str">
        <f>"10001"</f>
        <v>10001</v>
      </c>
      <c r="G514" t="str">
        <f>"Statutární město Karviná"</f>
        <v>Statutární město Karviná</v>
      </c>
      <c r="H514" t="str">
        <f>"297534"</f>
        <v>297534</v>
      </c>
      <c r="I514" t="str">
        <f>"jiná právnická osoba (vč. obce a kraje)"</f>
        <v>jiná právnická osoba (vč. obce a kraje)</v>
      </c>
      <c r="J514" t="str">
        <f>"OPO"</f>
        <v>OPO</v>
      </c>
      <c r="K514" t="str">
        <f>"1"</f>
        <v>1</v>
      </c>
      <c r="L514" t="str">
        <f>"Vlastnické právo"</f>
        <v>Vlastnické právo</v>
      </c>
    </row>
    <row r="515" spans="1:12" x14ac:dyDescent="0.25">
      <c r="A515" t="str">
        <f>"Ráj"</f>
        <v>Ráj</v>
      </c>
      <c r="B515" t="str">
        <f>"854/9"</f>
        <v>854/9</v>
      </c>
      <c r="C515" t="str">
        <f>"36"</f>
        <v>36</v>
      </c>
      <c r="D515" t="str">
        <f>"lesní pozemek"</f>
        <v>lesní pozemek</v>
      </c>
      <c r="E515" t="str">
        <f>""</f>
        <v/>
      </c>
      <c r="F515" t="str">
        <f>"10001"</f>
        <v>10001</v>
      </c>
      <c r="G515" t="str">
        <f>"Statutární město Karviná"</f>
        <v>Statutární město Karviná</v>
      </c>
      <c r="H515" t="str">
        <f>"297534"</f>
        <v>297534</v>
      </c>
      <c r="I515" t="str">
        <f>"jiná právnická osoba (vč. obce a kraje)"</f>
        <v>jiná právnická osoba (vč. obce a kraje)</v>
      </c>
      <c r="J515" t="str">
        <f>"OPO"</f>
        <v>OPO</v>
      </c>
      <c r="K515" t="str">
        <f>"1"</f>
        <v>1</v>
      </c>
      <c r="L515" t="str">
        <f>"Vlastnické právo"</f>
        <v>Vlastnické právo</v>
      </c>
    </row>
    <row r="516" spans="1:12" x14ac:dyDescent="0.25">
      <c r="A516" t="str">
        <f>"Ráj"</f>
        <v>Ráj</v>
      </c>
      <c r="B516" t="str">
        <f>"1530"</f>
        <v>1530</v>
      </c>
      <c r="C516" t="str">
        <f>"2377"</f>
        <v>2377</v>
      </c>
      <c r="D516" t="str">
        <f>"lesní pozemek"</f>
        <v>lesní pozemek</v>
      </c>
      <c r="E516" t="str">
        <f>""</f>
        <v/>
      </c>
      <c r="F516" t="str">
        <f>"10001"</f>
        <v>10001</v>
      </c>
      <c r="G516" t="str">
        <f>"Statutární město Karviná"</f>
        <v>Statutární město Karviná</v>
      </c>
      <c r="H516" t="str">
        <f>"297534"</f>
        <v>297534</v>
      </c>
      <c r="I516" t="str">
        <f>"jiná právnická osoba (vč. obce a kraje)"</f>
        <v>jiná právnická osoba (vč. obce a kraje)</v>
      </c>
      <c r="J516" t="str">
        <f>"OPO"</f>
        <v>OPO</v>
      </c>
      <c r="K516" t="str">
        <f>"1"</f>
        <v>1</v>
      </c>
      <c r="L516" t="str">
        <f>"Vlastnické právo"</f>
        <v>Vlastnické právo</v>
      </c>
    </row>
    <row r="517" spans="1:12" x14ac:dyDescent="0.25">
      <c r="A517" t="str">
        <f>"Staré Město u Karviné"</f>
        <v>Staré Město u Karviné</v>
      </c>
      <c r="B517" t="str">
        <f>"1204"</f>
        <v>1204</v>
      </c>
      <c r="C517" t="str">
        <f>"418"</f>
        <v>418</v>
      </c>
      <c r="D517" t="str">
        <f>"lesní pozemek"</f>
        <v>lesní pozemek</v>
      </c>
      <c r="E517" t="str">
        <f>""</f>
        <v/>
      </c>
      <c r="F517" t="str">
        <f>"10001"</f>
        <v>10001</v>
      </c>
      <c r="G517" t="str">
        <f>"Statutární město Karviná"</f>
        <v>Statutární město Karviná</v>
      </c>
      <c r="H517" t="str">
        <f>"297534"</f>
        <v>297534</v>
      </c>
      <c r="I517" t="str">
        <f>"jiná právnická osoba (vč. obce a kraje)"</f>
        <v>jiná právnická osoba (vč. obce a kraje)</v>
      </c>
      <c r="J517" t="str">
        <f>"OPO"</f>
        <v>OPO</v>
      </c>
      <c r="K517" t="str">
        <f>"1"</f>
        <v>1</v>
      </c>
      <c r="L517" t="str">
        <f>"Vlastnické právo"</f>
        <v>Vlastnické právo</v>
      </c>
    </row>
    <row r="518" spans="1:12" x14ac:dyDescent="0.25">
      <c r="A518" t="str">
        <f>"Staré Město u Karviné"</f>
        <v>Staré Město u Karviné</v>
      </c>
      <c r="B518" t="str">
        <f>"1205"</f>
        <v>1205</v>
      </c>
      <c r="C518" t="str">
        <f>"236"</f>
        <v>236</v>
      </c>
      <c r="D518" t="str">
        <f>"lesní pozemek"</f>
        <v>lesní pozemek</v>
      </c>
      <c r="E518" t="str">
        <f>""</f>
        <v/>
      </c>
      <c r="F518" t="str">
        <f>"10001"</f>
        <v>10001</v>
      </c>
      <c r="G518" t="str">
        <f>"Statutární město Karviná"</f>
        <v>Statutární město Karviná</v>
      </c>
      <c r="H518" t="str">
        <f>"297534"</f>
        <v>297534</v>
      </c>
      <c r="I518" t="str">
        <f>"jiná právnická osoba (vč. obce a kraje)"</f>
        <v>jiná právnická osoba (vč. obce a kraje)</v>
      </c>
      <c r="J518" t="str">
        <f>"OPO"</f>
        <v>OPO</v>
      </c>
      <c r="K518" t="str">
        <f>"1"</f>
        <v>1</v>
      </c>
      <c r="L518" t="str">
        <f>"Vlastnické právo"</f>
        <v>Vlastnické právo</v>
      </c>
    </row>
    <row r="519" spans="1:12" x14ac:dyDescent="0.25">
      <c r="A519" t="str">
        <f>"Stonava"</f>
        <v>Stonava</v>
      </c>
      <c r="B519" t="str">
        <f>"3673"</f>
        <v>3673</v>
      </c>
      <c r="C519" t="str">
        <f>"2081"</f>
        <v>2081</v>
      </c>
      <c r="D519" t="str">
        <f>"lesní pozemek"</f>
        <v>lesní pozemek</v>
      </c>
      <c r="E519" t="str">
        <f>"les jiný než hospodářský"</f>
        <v>les jiný než hospodářský</v>
      </c>
      <c r="F519" t="str">
        <f>"1643"</f>
        <v>1643</v>
      </c>
      <c r="G519" t="str">
        <f>"Statutární město Karviná"</f>
        <v>Statutární město Karviná</v>
      </c>
      <c r="H519" t="str">
        <f>"297534"</f>
        <v>297534</v>
      </c>
      <c r="I519" t="str">
        <f>"jiná právnická osoba (vč. obce a kraje)"</f>
        <v>jiná právnická osoba (vč. obce a kraje)</v>
      </c>
      <c r="J519" t="str">
        <f>"OPO"</f>
        <v>OPO</v>
      </c>
      <c r="K519" t="str">
        <f>"1"</f>
        <v>1</v>
      </c>
      <c r="L519" t="str">
        <f>"Vlastnické právo"</f>
        <v>Vlastnické právo</v>
      </c>
    </row>
    <row r="520" spans="1:12" x14ac:dyDescent="0.25">
      <c r="A520" t="str">
        <f>"Stonava"</f>
        <v>Stonava</v>
      </c>
      <c r="B520" t="str">
        <f>"3674"</f>
        <v>3674</v>
      </c>
      <c r="C520" t="str">
        <f>"749"</f>
        <v>749</v>
      </c>
      <c r="D520" t="str">
        <f>"lesní pozemek"</f>
        <v>lesní pozemek</v>
      </c>
      <c r="E520" t="str">
        <f>"les jiný než hospodářský"</f>
        <v>les jiný než hospodářský</v>
      </c>
      <c r="F520" t="str">
        <f>"1643"</f>
        <v>1643</v>
      </c>
      <c r="G520" t="str">
        <f>"Statutární město Karviná"</f>
        <v>Statutární město Karviná</v>
      </c>
      <c r="H520" t="str">
        <f>"297534"</f>
        <v>297534</v>
      </c>
      <c r="I520" t="str">
        <f>"jiná právnická osoba (vč. obce a kraje)"</f>
        <v>jiná právnická osoba (vč. obce a kraje)</v>
      </c>
      <c r="J520" t="str">
        <f>"OPO"</f>
        <v>OPO</v>
      </c>
      <c r="K520" t="str">
        <f>"1"</f>
        <v>1</v>
      </c>
      <c r="L520" t="str">
        <f>"Vlastnické právo"</f>
        <v>Vlastnické právo</v>
      </c>
    </row>
    <row r="521" spans="1:12" x14ac:dyDescent="0.25">
      <c r="A521" t="str">
        <f>"Stonava"</f>
        <v>Stonava</v>
      </c>
      <c r="B521" t="str">
        <f>"3675"</f>
        <v>3675</v>
      </c>
      <c r="C521" t="str">
        <f>"391"</f>
        <v>391</v>
      </c>
      <c r="D521" t="str">
        <f>"lesní pozemek"</f>
        <v>lesní pozemek</v>
      </c>
      <c r="E521" t="str">
        <f>"les jiný než hospodářský"</f>
        <v>les jiný než hospodářský</v>
      </c>
      <c r="F521" t="str">
        <f>"1643"</f>
        <v>1643</v>
      </c>
      <c r="G521" t="str">
        <f>"Statutární město Karviná"</f>
        <v>Statutární město Karviná</v>
      </c>
      <c r="H521" t="str">
        <f>"297534"</f>
        <v>297534</v>
      </c>
      <c r="I521" t="str">
        <f>"jiná právnická osoba (vč. obce a kraje)"</f>
        <v>jiná právnická osoba (vč. obce a kraje)</v>
      </c>
      <c r="J521" t="str">
        <f>"OPO"</f>
        <v>OPO</v>
      </c>
      <c r="K521" t="str">
        <f>"1"</f>
        <v>1</v>
      </c>
      <c r="L521" t="str">
        <f>"Vlastnické právo"</f>
        <v>Vlastnické právo</v>
      </c>
    </row>
    <row r="522" spans="1:12" x14ac:dyDescent="0.25">
      <c r="A522" t="str">
        <f>"Stonava"</f>
        <v>Stonava</v>
      </c>
      <c r="B522" t="str">
        <f>"3676"</f>
        <v>3676</v>
      </c>
      <c r="C522" t="str">
        <f>"458"</f>
        <v>458</v>
      </c>
      <c r="D522" t="str">
        <f>"lesní pozemek"</f>
        <v>lesní pozemek</v>
      </c>
      <c r="E522" t="str">
        <f>"les jiný než hospodářský"</f>
        <v>les jiný než hospodářský</v>
      </c>
      <c r="F522" t="str">
        <f>"1643"</f>
        <v>1643</v>
      </c>
      <c r="G522" t="str">
        <f>"Statutární město Karviná"</f>
        <v>Statutární město Karviná</v>
      </c>
      <c r="H522" t="str">
        <f>"297534"</f>
        <v>297534</v>
      </c>
      <c r="I522" t="str">
        <f>"jiná právnická osoba (vč. obce a kraje)"</f>
        <v>jiná právnická osoba (vč. obce a kraje)</v>
      </c>
      <c r="J522" t="str">
        <f>"OPO"</f>
        <v>OPO</v>
      </c>
      <c r="K522" t="str">
        <f>"1"</f>
        <v>1</v>
      </c>
      <c r="L522" t="str">
        <f>"Vlastnické právo"</f>
        <v>Vlastnické právo</v>
      </c>
    </row>
    <row r="523" spans="1:12" x14ac:dyDescent="0.25">
      <c r="A523" t="str">
        <f>"Stonava"</f>
        <v>Stonava</v>
      </c>
      <c r="B523" t="str">
        <f>"3677"</f>
        <v>3677</v>
      </c>
      <c r="C523" t="str">
        <f>"6062"</f>
        <v>6062</v>
      </c>
      <c r="D523" t="str">
        <f>"lesní pozemek"</f>
        <v>lesní pozemek</v>
      </c>
      <c r="E523" t="str">
        <f>"les jiný než hospodářský"</f>
        <v>les jiný než hospodářský</v>
      </c>
      <c r="F523" t="str">
        <f>"1643"</f>
        <v>1643</v>
      </c>
      <c r="G523" t="str">
        <f>"Statutární město Karviná"</f>
        <v>Statutární město Karviná</v>
      </c>
      <c r="H523" t="str">
        <f>"297534"</f>
        <v>297534</v>
      </c>
      <c r="I523" t="str">
        <f>"jiná právnická osoba (vč. obce a kraje)"</f>
        <v>jiná právnická osoba (vč. obce a kraje)</v>
      </c>
      <c r="J523" t="str">
        <f>"OPO"</f>
        <v>OPO</v>
      </c>
      <c r="K523" t="str">
        <f>"1"</f>
        <v>1</v>
      </c>
      <c r="L523" t="str">
        <f>"Vlastnické právo"</f>
        <v>Vlastnické právo</v>
      </c>
    </row>
    <row r="524" spans="1:12" x14ac:dyDescent="0.25">
      <c r="A524" t="str">
        <f>"Stonava"</f>
        <v>Stonava</v>
      </c>
      <c r="B524" t="str">
        <f>"3678"</f>
        <v>3678</v>
      </c>
      <c r="C524" t="str">
        <f>"1528"</f>
        <v>1528</v>
      </c>
      <c r="D524" t="str">
        <f>"lesní pozemek"</f>
        <v>lesní pozemek</v>
      </c>
      <c r="E524" t="str">
        <f>"les jiný než hospodářský"</f>
        <v>les jiný než hospodářský</v>
      </c>
      <c r="F524" t="str">
        <f>"1643"</f>
        <v>1643</v>
      </c>
      <c r="G524" t="str">
        <f>"Statutární město Karviná"</f>
        <v>Statutární město Karviná</v>
      </c>
      <c r="H524" t="str">
        <f>"297534"</f>
        <v>297534</v>
      </c>
      <c r="I524" t="str">
        <f>"jiná právnická osoba (vč. obce a kraje)"</f>
        <v>jiná právnická osoba (vč. obce a kraje)</v>
      </c>
      <c r="J524" t="str">
        <f>"OPO"</f>
        <v>OPO</v>
      </c>
      <c r="K524" t="str">
        <f>"1"</f>
        <v>1</v>
      </c>
      <c r="L524" t="str">
        <f>"Vlastnické právo"</f>
        <v>Vlastnické právo</v>
      </c>
    </row>
    <row r="525" spans="1:12" x14ac:dyDescent="0.25">
      <c r="A525" t="str">
        <f>"Stonava"</f>
        <v>Stonava</v>
      </c>
      <c r="B525" t="str">
        <f>"3679"</f>
        <v>3679</v>
      </c>
      <c r="C525" t="str">
        <f>"200"</f>
        <v>200</v>
      </c>
      <c r="D525" t="str">
        <f>"lesní pozemek"</f>
        <v>lesní pozemek</v>
      </c>
      <c r="E525" t="str">
        <f>"les jiný než hospodářský"</f>
        <v>les jiný než hospodářský</v>
      </c>
      <c r="F525" t="str">
        <f>"1643"</f>
        <v>1643</v>
      </c>
      <c r="G525" t="str">
        <f>"Statutární město Karviná"</f>
        <v>Statutární město Karviná</v>
      </c>
      <c r="H525" t="str">
        <f>"297534"</f>
        <v>297534</v>
      </c>
      <c r="I525" t="str">
        <f>"jiná právnická osoba (vč. obce a kraje)"</f>
        <v>jiná právnická osoba (vč. obce a kraje)</v>
      </c>
      <c r="J525" t="str">
        <f>"OPO"</f>
        <v>OPO</v>
      </c>
      <c r="K525" t="str">
        <f>"1"</f>
        <v>1</v>
      </c>
      <c r="L525" t="str">
        <f>"Vlastnické právo"</f>
        <v>Vlastnické právo</v>
      </c>
    </row>
    <row r="526" spans="1:12" x14ac:dyDescent="0.25">
      <c r="A526" t="str">
        <f>"Stonava"</f>
        <v>Stonava</v>
      </c>
      <c r="B526" t="str">
        <f>"3680"</f>
        <v>3680</v>
      </c>
      <c r="C526" t="str">
        <f>"331"</f>
        <v>331</v>
      </c>
      <c r="D526" t="str">
        <f>"lesní pozemek"</f>
        <v>lesní pozemek</v>
      </c>
      <c r="E526" t="str">
        <f>"les jiný než hospodářský"</f>
        <v>les jiný než hospodářský</v>
      </c>
      <c r="F526" t="str">
        <f>"1643"</f>
        <v>1643</v>
      </c>
      <c r="G526" t="str">
        <f>"Statutární město Karviná"</f>
        <v>Statutární město Karviná</v>
      </c>
      <c r="H526" t="str">
        <f>"297534"</f>
        <v>297534</v>
      </c>
      <c r="I526" t="str">
        <f>"jiná právnická osoba (vč. obce a kraje)"</f>
        <v>jiná právnická osoba (vč. obce a kraje)</v>
      </c>
      <c r="J526" t="str">
        <f>"OPO"</f>
        <v>OPO</v>
      </c>
      <c r="K526" t="str">
        <f>"1"</f>
        <v>1</v>
      </c>
      <c r="L526" t="str">
        <f>"Vlastnické právo"</f>
        <v>Vlastnické právo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P18"/>
  <sheetViews>
    <sheetView workbookViewId="0">
      <selection activeCell="H18" sqref="A18:H18"/>
    </sheetView>
  </sheetViews>
  <sheetFormatPr defaultRowHeight="15" x14ac:dyDescent="0.25"/>
  <sheetData>
    <row r="1" spans="1:510" x14ac:dyDescent="0.25">
      <c r="A1" t="s">
        <v>12</v>
      </c>
    </row>
    <row r="2" spans="1:510" x14ac:dyDescent="0.25">
      <c r="A2" t="str">
        <f>"344"</f>
        <v>344</v>
      </c>
      <c r="B2" t="str">
        <f>"345"</f>
        <v>345</v>
      </c>
      <c r="C2" t="str">
        <f>"346"</f>
        <v>346</v>
      </c>
      <c r="D2" t="str">
        <f>"347"</f>
        <v>347</v>
      </c>
      <c r="E2" t="str">
        <f>"348/2"</f>
        <v>348/2</v>
      </c>
      <c r="F2" t="str">
        <f>"349/2"</f>
        <v>349/2</v>
      </c>
      <c r="G2" t="str">
        <f>"349/3"</f>
        <v>349/3</v>
      </c>
      <c r="H2" t="str">
        <f>"351/2"</f>
        <v>351/2</v>
      </c>
      <c r="I2" t="str">
        <f>"352"</f>
        <v>352</v>
      </c>
      <c r="J2" t="str">
        <f>"358"</f>
        <v>358</v>
      </c>
      <c r="K2" t="str">
        <f>"359/2"</f>
        <v>359/2</v>
      </c>
      <c r="L2" t="str">
        <f>"360"</f>
        <v>360</v>
      </c>
      <c r="M2" t="str">
        <f>"362"</f>
        <v>362</v>
      </c>
      <c r="N2" t="str">
        <f>"363"</f>
        <v>363</v>
      </c>
      <c r="O2" t="str">
        <f>"365/1"</f>
        <v>365/1</v>
      </c>
      <c r="P2" t="str">
        <f>"365/2"</f>
        <v>365/2</v>
      </c>
      <c r="Q2" t="str">
        <f>"366"</f>
        <v>366</v>
      </c>
      <c r="R2" t="str">
        <f>"371/1"</f>
        <v>371/1</v>
      </c>
      <c r="S2" t="str">
        <f>"371/2"</f>
        <v>371/2</v>
      </c>
      <c r="T2" t="str">
        <f>"371/3"</f>
        <v>371/3</v>
      </c>
      <c r="U2" t="str">
        <f>"372/2"</f>
        <v>372/2</v>
      </c>
      <c r="V2" t="str">
        <f>"373"</f>
        <v>373</v>
      </c>
      <c r="W2" t="str">
        <f>"374"</f>
        <v>374</v>
      </c>
      <c r="X2" t="str">
        <f>"375"</f>
        <v>375</v>
      </c>
      <c r="Y2" t="str">
        <f>"376/2"</f>
        <v>376/2</v>
      </c>
      <c r="Z2" t="str">
        <f>"377"</f>
        <v>377</v>
      </c>
      <c r="AA2" t="str">
        <f>"378"</f>
        <v>378</v>
      </c>
      <c r="AB2" t="str">
        <f>"379"</f>
        <v>379</v>
      </c>
      <c r="AC2" t="str">
        <f>"385"</f>
        <v>385</v>
      </c>
      <c r="AD2" t="str">
        <f>"386/1"</f>
        <v>386/1</v>
      </c>
      <c r="AE2" t="str">
        <f>"386/2"</f>
        <v>386/2</v>
      </c>
      <c r="AF2" t="str">
        <f>"387/1"</f>
        <v>387/1</v>
      </c>
      <c r="AG2" t="str">
        <f>"387/2"</f>
        <v>387/2</v>
      </c>
      <c r="AH2" t="str">
        <f>"443/1"</f>
        <v>443/1</v>
      </c>
      <c r="AI2" t="str">
        <f>"493"</f>
        <v>493</v>
      </c>
      <c r="AJ2" t="str">
        <f>"498/2"</f>
        <v>498/2</v>
      </c>
      <c r="AK2" t="str">
        <f>"498/4"</f>
        <v>498/4</v>
      </c>
      <c r="AL2" t="str">
        <f>"508/1"</f>
        <v>508/1</v>
      </c>
      <c r="AM2" t="str">
        <f>"509"</f>
        <v>509</v>
      </c>
      <c r="AN2" t="str">
        <f>"510"</f>
        <v>510</v>
      </c>
      <c r="AO2" t="str">
        <f>"511/1"</f>
        <v>511/1</v>
      </c>
      <c r="AP2" t="str">
        <f>"511/2"</f>
        <v>511/2</v>
      </c>
      <c r="AQ2" t="str">
        <f>"511/3"</f>
        <v>511/3</v>
      </c>
      <c r="AR2" t="str">
        <f>"512"</f>
        <v>512</v>
      </c>
      <c r="AS2" t="str">
        <f>"513"</f>
        <v>513</v>
      </c>
      <c r="AT2" t="str">
        <f>"514"</f>
        <v>514</v>
      </c>
      <c r="AU2" t="str">
        <f>"515"</f>
        <v>515</v>
      </c>
      <c r="AV2" t="str">
        <f>"516/1"</f>
        <v>516/1</v>
      </c>
      <c r="AW2" t="str">
        <f>"561/1"</f>
        <v>561/1</v>
      </c>
      <c r="AX2" t="str">
        <f>"561/5"</f>
        <v>561/5</v>
      </c>
      <c r="AY2" t="str">
        <f>"561/6"</f>
        <v>561/6</v>
      </c>
      <c r="AZ2" t="str">
        <f>"564/1"</f>
        <v>564/1</v>
      </c>
      <c r="BA2" t="str">
        <f>"565"</f>
        <v>565</v>
      </c>
      <c r="BB2" t="str">
        <f>"566"</f>
        <v>566</v>
      </c>
      <c r="BC2" t="str">
        <f>"567"</f>
        <v>567</v>
      </c>
      <c r="BD2" t="str">
        <f>"568/1"</f>
        <v>568/1</v>
      </c>
      <c r="BE2" t="str">
        <f>"568/2"</f>
        <v>568/2</v>
      </c>
      <c r="BF2" t="str">
        <f>"569"</f>
        <v>569</v>
      </c>
      <c r="BG2" t="str">
        <f>"570"</f>
        <v>570</v>
      </c>
      <c r="BH2" t="str">
        <f>"571/1"</f>
        <v>571/1</v>
      </c>
      <c r="BI2" t="str">
        <f>"571/2"</f>
        <v>571/2</v>
      </c>
      <c r="BJ2" t="str">
        <f>"572"</f>
        <v>572</v>
      </c>
      <c r="BK2" t="str">
        <f>"573/1"</f>
        <v>573/1</v>
      </c>
      <c r="BL2" t="str">
        <f>"573/2"</f>
        <v>573/2</v>
      </c>
      <c r="BM2" t="str">
        <f>"573/3"</f>
        <v>573/3</v>
      </c>
      <c r="BN2" t="str">
        <f>"574"</f>
        <v>574</v>
      </c>
      <c r="BO2" t="str">
        <f>"576/1"</f>
        <v>576/1</v>
      </c>
      <c r="BP2" t="str">
        <f>"576/2"</f>
        <v>576/2</v>
      </c>
      <c r="BQ2" t="str">
        <f>"577"</f>
        <v>577</v>
      </c>
      <c r="BR2" t="str">
        <f>"578"</f>
        <v>578</v>
      </c>
      <c r="BS2" t="str">
        <f>"579"</f>
        <v>579</v>
      </c>
      <c r="BT2" t="str">
        <f>"580"</f>
        <v>580</v>
      </c>
      <c r="BU2" t="str">
        <f>"581"</f>
        <v>581</v>
      </c>
      <c r="BV2" t="str">
        <f>"582/1"</f>
        <v>582/1</v>
      </c>
      <c r="BW2" t="str">
        <f>"582/2"</f>
        <v>582/2</v>
      </c>
      <c r="BX2" t="str">
        <f>"583"</f>
        <v>583</v>
      </c>
      <c r="BY2" t="str">
        <f>"584/1"</f>
        <v>584/1</v>
      </c>
      <c r="BZ2" t="str">
        <f>"584/2"</f>
        <v>584/2</v>
      </c>
      <c r="CA2" t="str">
        <f>"585"</f>
        <v>585</v>
      </c>
      <c r="CB2" t="str">
        <f>"586/1"</f>
        <v>586/1</v>
      </c>
      <c r="CC2" t="str">
        <f>"587/2"</f>
        <v>587/2</v>
      </c>
      <c r="CD2" t="str">
        <f>"590"</f>
        <v>590</v>
      </c>
      <c r="CE2" t="str">
        <f>"591/1"</f>
        <v>591/1</v>
      </c>
      <c r="CF2" t="str">
        <f>"591/2"</f>
        <v>591/2</v>
      </c>
      <c r="CG2" t="str">
        <f>"591/3"</f>
        <v>591/3</v>
      </c>
      <c r="CH2" t="str">
        <f>"591/4"</f>
        <v>591/4</v>
      </c>
      <c r="CI2" t="str">
        <f>"592"</f>
        <v>592</v>
      </c>
      <c r="CJ2" t="str">
        <f>"593"</f>
        <v>593</v>
      </c>
      <c r="CK2" t="str">
        <f>"594/1"</f>
        <v>594/1</v>
      </c>
      <c r="CL2" t="str">
        <f>"594/2"</f>
        <v>594/2</v>
      </c>
      <c r="CM2" t="str">
        <f>"595"</f>
        <v>595</v>
      </c>
      <c r="CN2" t="str">
        <f>"596/1"</f>
        <v>596/1</v>
      </c>
      <c r="CO2" t="str">
        <f>"596/2"</f>
        <v>596/2</v>
      </c>
      <c r="CP2" t="str">
        <f>"597"</f>
        <v>597</v>
      </c>
      <c r="CQ2" t="str">
        <f>"598"</f>
        <v>598</v>
      </c>
      <c r="CR2" t="str">
        <f>"599"</f>
        <v>599</v>
      </c>
      <c r="CS2" t="str">
        <f>"600"</f>
        <v>600</v>
      </c>
      <c r="CT2" t="str">
        <f>"601"</f>
        <v>601</v>
      </c>
      <c r="CU2" t="str">
        <f>"603/2"</f>
        <v>603/2</v>
      </c>
      <c r="CV2" t="str">
        <f>"606"</f>
        <v>606</v>
      </c>
      <c r="CW2" t="str">
        <f>"607"</f>
        <v>607</v>
      </c>
      <c r="CX2" t="str">
        <f>"608"</f>
        <v>608</v>
      </c>
      <c r="CY2" t="str">
        <f>"651"</f>
        <v>651</v>
      </c>
      <c r="CZ2" t="str">
        <f>"657/1"</f>
        <v>657/1</v>
      </c>
      <c r="DA2" t="str">
        <f>"657/3"</f>
        <v>657/3</v>
      </c>
      <c r="DB2" t="str">
        <f>"657/6"</f>
        <v>657/6</v>
      </c>
      <c r="DC2" t="str">
        <f>"658"</f>
        <v>658</v>
      </c>
      <c r="DD2" t="str">
        <f>"659"</f>
        <v>659</v>
      </c>
      <c r="DE2" t="str">
        <f>"660/1"</f>
        <v>660/1</v>
      </c>
      <c r="DF2" t="str">
        <f>"660/3"</f>
        <v>660/3</v>
      </c>
      <c r="DG2" t="str">
        <f>"661"</f>
        <v>661</v>
      </c>
      <c r="DH2" t="str">
        <f>"662"</f>
        <v>662</v>
      </c>
      <c r="DI2" t="str">
        <f>"663"</f>
        <v>663</v>
      </c>
      <c r="DJ2" t="str">
        <f>"664/1"</f>
        <v>664/1</v>
      </c>
      <c r="DK2" t="str">
        <f>"664/2"</f>
        <v>664/2</v>
      </c>
      <c r="DL2" t="str">
        <f>"665"</f>
        <v>665</v>
      </c>
      <c r="DM2" t="str">
        <f>"666"</f>
        <v>666</v>
      </c>
      <c r="DN2" t="str">
        <f>"667"</f>
        <v>667</v>
      </c>
      <c r="DO2" t="str">
        <f>"668"</f>
        <v>668</v>
      </c>
      <c r="DP2" t="str">
        <f>"669"</f>
        <v>669</v>
      </c>
      <c r="DQ2" t="str">
        <f>"670"</f>
        <v>670</v>
      </c>
      <c r="DR2" t="str">
        <f>"671"</f>
        <v>671</v>
      </c>
      <c r="DS2" t="str">
        <f>"672"</f>
        <v>672</v>
      </c>
      <c r="DT2" t="str">
        <f>"673"</f>
        <v>673</v>
      </c>
      <c r="DU2" t="str">
        <f>"674"</f>
        <v>674</v>
      </c>
      <c r="DV2" t="str">
        <f>"675"</f>
        <v>675</v>
      </c>
      <c r="DW2" t="str">
        <f>"676"</f>
        <v>676</v>
      </c>
      <c r="DX2" t="str">
        <f>"677"</f>
        <v>677</v>
      </c>
      <c r="DY2" t="str">
        <f>"678/1"</f>
        <v>678/1</v>
      </c>
      <c r="DZ2" t="str">
        <f>"678/2"</f>
        <v>678/2</v>
      </c>
      <c r="EA2" t="str">
        <f>"679"</f>
        <v>679</v>
      </c>
      <c r="EB2" t="str">
        <f>"680/1"</f>
        <v>680/1</v>
      </c>
      <c r="EC2" t="str">
        <f>"680/2"</f>
        <v>680/2</v>
      </c>
      <c r="ED2" t="str">
        <f>"681"</f>
        <v>681</v>
      </c>
      <c r="EE2" t="str">
        <f>"682"</f>
        <v>682</v>
      </c>
      <c r="EF2" t="str">
        <f>"683"</f>
        <v>683</v>
      </c>
      <c r="EG2" t="str">
        <f>"684"</f>
        <v>684</v>
      </c>
      <c r="EH2" t="str">
        <f>"685"</f>
        <v>685</v>
      </c>
      <c r="EI2" t="str">
        <f>"686"</f>
        <v>686</v>
      </c>
      <c r="EJ2" t="str">
        <f>"687"</f>
        <v>687</v>
      </c>
      <c r="EK2" t="str">
        <f>"688"</f>
        <v>688</v>
      </c>
      <c r="EL2" t="str">
        <f>"689"</f>
        <v>689</v>
      </c>
      <c r="EM2" t="str">
        <f>"690"</f>
        <v>690</v>
      </c>
      <c r="EN2" t="str">
        <f>"691"</f>
        <v>691</v>
      </c>
      <c r="EO2" t="str">
        <f>"692"</f>
        <v>692</v>
      </c>
      <c r="EP2" t="str">
        <f>"693"</f>
        <v>693</v>
      </c>
      <c r="EQ2" t="str">
        <f>"696/1"</f>
        <v>696/1</v>
      </c>
      <c r="ER2" t="str">
        <f>"698/1"</f>
        <v>698/1</v>
      </c>
      <c r="ES2" t="str">
        <f>"699/2"</f>
        <v>699/2</v>
      </c>
      <c r="ET2" t="str">
        <f>"699/3"</f>
        <v>699/3</v>
      </c>
      <c r="EU2" t="str">
        <f>"699/6"</f>
        <v>699/6</v>
      </c>
      <c r="EV2" t="str">
        <f>"703/1"</f>
        <v>703/1</v>
      </c>
      <c r="EW2" t="str">
        <f>"703/1"</f>
        <v>703/1</v>
      </c>
      <c r="EX2" t="str">
        <f>"703/1"</f>
        <v>703/1</v>
      </c>
      <c r="EY2" t="str">
        <f>"703/2"</f>
        <v>703/2</v>
      </c>
      <c r="EZ2" t="str">
        <f>"703/2"</f>
        <v>703/2</v>
      </c>
      <c r="FA2" t="str">
        <f>"703/2"</f>
        <v>703/2</v>
      </c>
      <c r="FB2" t="str">
        <f>"704"</f>
        <v>704</v>
      </c>
      <c r="FC2" t="str">
        <f>"705"</f>
        <v>705</v>
      </c>
      <c r="FD2" t="str">
        <f>"706"</f>
        <v>706</v>
      </c>
      <c r="FE2" t="str">
        <f>"707"</f>
        <v>707</v>
      </c>
      <c r="FF2" t="str">
        <f>"708"</f>
        <v>708</v>
      </c>
      <c r="FG2" t="str">
        <f>"709"</f>
        <v>709</v>
      </c>
      <c r="FH2" t="str">
        <f>"710"</f>
        <v>710</v>
      </c>
      <c r="FI2" t="str">
        <f>"711/1"</f>
        <v>711/1</v>
      </c>
      <c r="FJ2" t="str">
        <f>"711/2"</f>
        <v>711/2</v>
      </c>
      <c r="FK2" t="str">
        <f>"712/1"</f>
        <v>712/1</v>
      </c>
      <c r="FL2" t="str">
        <f>"712/2"</f>
        <v>712/2</v>
      </c>
      <c r="FM2" t="str">
        <f>"718/1"</f>
        <v>718/1</v>
      </c>
      <c r="FN2" t="str">
        <f>"719/1"</f>
        <v>719/1</v>
      </c>
      <c r="FO2" t="str">
        <f>"719/2"</f>
        <v>719/2</v>
      </c>
      <c r="FP2" t="str">
        <f>"737"</f>
        <v>737</v>
      </c>
      <c r="FQ2" t="str">
        <f>"738/1"</f>
        <v>738/1</v>
      </c>
      <c r="FR2" t="str">
        <f>"738/2"</f>
        <v>738/2</v>
      </c>
      <c r="FS2" t="str">
        <f>"738/3"</f>
        <v>738/3</v>
      </c>
      <c r="FT2" t="str">
        <f>"739/1"</f>
        <v>739/1</v>
      </c>
      <c r="FU2" t="str">
        <f>"741/1"</f>
        <v>741/1</v>
      </c>
      <c r="FV2" t="str">
        <f>"741/2"</f>
        <v>741/2</v>
      </c>
      <c r="FW2" t="str">
        <f>"741/3"</f>
        <v>741/3</v>
      </c>
      <c r="FX2" t="str">
        <f>"741/4"</f>
        <v>741/4</v>
      </c>
      <c r="FY2" t="str">
        <f>"741/5"</f>
        <v>741/5</v>
      </c>
      <c r="FZ2" t="str">
        <f>"741/6"</f>
        <v>741/6</v>
      </c>
      <c r="GA2" t="str">
        <f>"741/7"</f>
        <v>741/7</v>
      </c>
      <c r="GB2" t="str">
        <f>"741/8"</f>
        <v>741/8</v>
      </c>
      <c r="GC2" t="str">
        <f>"741/9"</f>
        <v>741/9</v>
      </c>
      <c r="GD2" t="str">
        <f>"741/10"</f>
        <v>741/10</v>
      </c>
      <c r="GE2" t="str">
        <f>"741/11"</f>
        <v>741/11</v>
      </c>
      <c r="GF2" t="str">
        <f>"741/12"</f>
        <v>741/12</v>
      </c>
      <c r="GG2" t="str">
        <f>"741/13"</f>
        <v>741/13</v>
      </c>
      <c r="GH2" t="str">
        <f>"741/14"</f>
        <v>741/14</v>
      </c>
      <c r="GI2" t="str">
        <f>"741/15"</f>
        <v>741/15</v>
      </c>
      <c r="GJ2" t="str">
        <f>"741/16"</f>
        <v>741/16</v>
      </c>
      <c r="GK2" t="str">
        <f>"741/17"</f>
        <v>741/17</v>
      </c>
      <c r="GL2" t="str">
        <f>"741/18"</f>
        <v>741/18</v>
      </c>
      <c r="GM2" t="str">
        <f>"741/19"</f>
        <v>741/19</v>
      </c>
      <c r="GN2" t="str">
        <f>"741/20"</f>
        <v>741/20</v>
      </c>
      <c r="GO2" t="str">
        <f>"741/21"</f>
        <v>741/21</v>
      </c>
      <c r="GP2" t="str">
        <f>"741/22"</f>
        <v>741/22</v>
      </c>
      <c r="GQ2" t="str">
        <f>"741/23"</f>
        <v>741/23</v>
      </c>
      <c r="GR2" t="str">
        <f>"741/24"</f>
        <v>741/24</v>
      </c>
      <c r="GS2" t="str">
        <f>"741/25"</f>
        <v>741/25</v>
      </c>
      <c r="GT2" t="str">
        <f>"753/1"</f>
        <v>753/1</v>
      </c>
      <c r="GU2" t="str">
        <f>"753/2"</f>
        <v>753/2</v>
      </c>
      <c r="GV2" t="str">
        <f>"753/3"</f>
        <v>753/3</v>
      </c>
      <c r="GW2" t="str">
        <f>"753/4"</f>
        <v>753/4</v>
      </c>
      <c r="GX2" t="str">
        <f>"791/2"</f>
        <v>791/2</v>
      </c>
      <c r="GY2" t="str">
        <f>"829/1"</f>
        <v>829/1</v>
      </c>
      <c r="GZ2" t="str">
        <f>"836/1"</f>
        <v>836/1</v>
      </c>
      <c r="HA2" t="str">
        <f>"836/2"</f>
        <v>836/2</v>
      </c>
      <c r="HB2" t="str">
        <f>"837/1"</f>
        <v>837/1</v>
      </c>
      <c r="HC2" t="str">
        <f>"837/2"</f>
        <v>837/2</v>
      </c>
      <c r="HD2" t="str">
        <f>"838/1"</f>
        <v>838/1</v>
      </c>
      <c r="HE2" t="str">
        <f>"838/2"</f>
        <v>838/2</v>
      </c>
      <c r="HF2" t="str">
        <f>"839"</f>
        <v>839</v>
      </c>
      <c r="HG2" t="str">
        <f>"840/1"</f>
        <v>840/1</v>
      </c>
      <c r="HH2" t="str">
        <f>"840/2"</f>
        <v>840/2</v>
      </c>
      <c r="HI2" t="str">
        <f>"841"</f>
        <v>841</v>
      </c>
      <c r="HJ2" t="str">
        <f>"842/1"</f>
        <v>842/1</v>
      </c>
      <c r="HK2" t="str">
        <f>"842/2"</f>
        <v>842/2</v>
      </c>
      <c r="HL2" t="str">
        <f>"842/3"</f>
        <v>842/3</v>
      </c>
      <c r="HM2" t="str">
        <f>"843/1"</f>
        <v>843/1</v>
      </c>
      <c r="HN2" t="str">
        <f>"843/2"</f>
        <v>843/2</v>
      </c>
      <c r="HO2" t="str">
        <f>"844"</f>
        <v>844</v>
      </c>
      <c r="HP2" t="str">
        <f>"845"</f>
        <v>845</v>
      </c>
      <c r="HQ2" t="str">
        <f>"846/1"</f>
        <v>846/1</v>
      </c>
      <c r="HR2" t="str">
        <f>"846/2"</f>
        <v>846/2</v>
      </c>
      <c r="HS2" t="str">
        <f>"847"</f>
        <v>847</v>
      </c>
      <c r="HT2" t="str">
        <f>"848"</f>
        <v>848</v>
      </c>
      <c r="HU2" t="str">
        <f>"849"</f>
        <v>849</v>
      </c>
      <c r="HV2" t="str">
        <f>"850"</f>
        <v>850</v>
      </c>
      <c r="HW2" t="str">
        <f>"851/1"</f>
        <v>851/1</v>
      </c>
      <c r="HX2" t="str">
        <f>"851/2"</f>
        <v>851/2</v>
      </c>
      <c r="HY2" t="str">
        <f>"851/3"</f>
        <v>851/3</v>
      </c>
      <c r="HZ2" t="str">
        <f>"852"</f>
        <v>852</v>
      </c>
      <c r="IA2" t="str">
        <f>"853"</f>
        <v>853</v>
      </c>
      <c r="IB2" t="str">
        <f>"854/1"</f>
        <v>854/1</v>
      </c>
      <c r="IC2" t="str">
        <f>"854/2"</f>
        <v>854/2</v>
      </c>
      <c r="ID2" t="str">
        <f>"854/3"</f>
        <v>854/3</v>
      </c>
      <c r="IE2" t="str">
        <f>"854/4"</f>
        <v>854/4</v>
      </c>
      <c r="IF2" t="str">
        <f>"855"</f>
        <v>855</v>
      </c>
      <c r="IG2" t="str">
        <f>"856/1"</f>
        <v>856/1</v>
      </c>
      <c r="IH2" t="str">
        <f>"856/2"</f>
        <v>856/2</v>
      </c>
      <c r="II2" t="str">
        <f>"856/3"</f>
        <v>856/3</v>
      </c>
      <c r="IJ2" t="str">
        <f>"857/1"</f>
        <v>857/1</v>
      </c>
      <c r="IK2" t="str">
        <f>"857/2"</f>
        <v>857/2</v>
      </c>
      <c r="IL2" t="str">
        <f>"858/1"</f>
        <v>858/1</v>
      </c>
      <c r="IM2" t="str">
        <f>"858/2"</f>
        <v>858/2</v>
      </c>
      <c r="IN2" t="str">
        <f>"859"</f>
        <v>859</v>
      </c>
      <c r="IO2" t="str">
        <f>"860"</f>
        <v>860</v>
      </c>
      <c r="IP2" t="str">
        <f>"861"</f>
        <v>861</v>
      </c>
      <c r="IQ2" t="str">
        <f>"869/1"</f>
        <v>869/1</v>
      </c>
      <c r="IR2" t="str">
        <f>"869/2"</f>
        <v>869/2</v>
      </c>
      <c r="IS2" t="str">
        <f>"876"</f>
        <v>876</v>
      </c>
      <c r="IT2" t="str">
        <f>"877"</f>
        <v>877</v>
      </c>
      <c r="IU2" t="str">
        <f>"878"</f>
        <v>878</v>
      </c>
      <c r="IV2" t="str">
        <f>"879/1"</f>
        <v>879/1</v>
      </c>
      <c r="IW2" t="str">
        <f>"879/2"</f>
        <v>879/2</v>
      </c>
      <c r="IX2" t="str">
        <f>"879/3"</f>
        <v>879/3</v>
      </c>
      <c r="IY2" t="str">
        <f>"879/4"</f>
        <v>879/4</v>
      </c>
      <c r="IZ2" t="str">
        <f>"880"</f>
        <v>880</v>
      </c>
      <c r="JA2" t="str">
        <f>"881/1"</f>
        <v>881/1</v>
      </c>
      <c r="JB2" t="str">
        <f>"882"</f>
        <v>882</v>
      </c>
      <c r="JC2" t="str">
        <f>"883"</f>
        <v>883</v>
      </c>
      <c r="JD2" t="str">
        <f>"884"</f>
        <v>884</v>
      </c>
      <c r="JE2" t="str">
        <f>"885/1"</f>
        <v>885/1</v>
      </c>
      <c r="JF2" t="str">
        <f>"885/2"</f>
        <v>885/2</v>
      </c>
      <c r="JG2" t="str">
        <f>"886/1"</f>
        <v>886/1</v>
      </c>
      <c r="JH2" t="str">
        <f>"886/2"</f>
        <v>886/2</v>
      </c>
      <c r="JI2" t="str">
        <f>"886/3"</f>
        <v>886/3</v>
      </c>
      <c r="JJ2" t="str">
        <f>"887"</f>
        <v>887</v>
      </c>
      <c r="JK2" t="str">
        <f>"888/1"</f>
        <v>888/1</v>
      </c>
      <c r="JL2" t="str">
        <f>"888/2"</f>
        <v>888/2</v>
      </c>
      <c r="JM2" t="str">
        <f>"889/1"</f>
        <v>889/1</v>
      </c>
      <c r="JN2" t="str">
        <f>"889/2"</f>
        <v>889/2</v>
      </c>
      <c r="JO2" t="str">
        <f>"890/1"</f>
        <v>890/1</v>
      </c>
      <c r="JP2" t="str">
        <f>"890/2"</f>
        <v>890/2</v>
      </c>
      <c r="JQ2" t="str">
        <f>"891"</f>
        <v>891</v>
      </c>
      <c r="JR2" t="str">
        <f>"892/1"</f>
        <v>892/1</v>
      </c>
      <c r="JS2" t="str">
        <f>"892/2"</f>
        <v>892/2</v>
      </c>
      <c r="JT2" t="str">
        <f>"893"</f>
        <v>893</v>
      </c>
      <c r="JU2" t="str">
        <f>"894/1"</f>
        <v>894/1</v>
      </c>
      <c r="JV2" t="str">
        <f>"894/2"</f>
        <v>894/2</v>
      </c>
      <c r="JW2" t="str">
        <f>"895/1"</f>
        <v>895/1</v>
      </c>
      <c r="JX2" t="str">
        <f>"895/2"</f>
        <v>895/2</v>
      </c>
      <c r="JY2" t="str">
        <f>"895/3"</f>
        <v>895/3</v>
      </c>
      <c r="JZ2" t="str">
        <f>"896"</f>
        <v>896</v>
      </c>
      <c r="KA2" t="str">
        <f>"897"</f>
        <v>897</v>
      </c>
      <c r="KB2" t="str">
        <f>"898/1"</f>
        <v>898/1</v>
      </c>
      <c r="KC2" t="str">
        <f>"898/2"</f>
        <v>898/2</v>
      </c>
      <c r="KD2" t="str">
        <f>"899/1"</f>
        <v>899/1</v>
      </c>
      <c r="KE2" t="str">
        <f>"899/2"</f>
        <v>899/2</v>
      </c>
      <c r="KF2" t="str">
        <f>"900/1"</f>
        <v>900/1</v>
      </c>
      <c r="KG2" t="str">
        <f>"900/2"</f>
        <v>900/2</v>
      </c>
      <c r="KH2" t="str">
        <f>"900/3"</f>
        <v>900/3</v>
      </c>
      <c r="KI2" t="str">
        <f>"900/4"</f>
        <v>900/4</v>
      </c>
      <c r="KJ2" t="str">
        <f>"901/1"</f>
        <v>901/1</v>
      </c>
      <c r="KK2" t="str">
        <f>"901/2"</f>
        <v>901/2</v>
      </c>
      <c r="KL2" t="str">
        <f>"902"</f>
        <v>902</v>
      </c>
      <c r="KM2" t="str">
        <f>"903/1"</f>
        <v>903/1</v>
      </c>
      <c r="KN2" t="str">
        <f>"903/2"</f>
        <v>903/2</v>
      </c>
      <c r="KO2" t="str">
        <f>"904/1"</f>
        <v>904/1</v>
      </c>
      <c r="KP2" t="str">
        <f>"904/2"</f>
        <v>904/2</v>
      </c>
      <c r="KQ2" t="str">
        <f>"904/3"</f>
        <v>904/3</v>
      </c>
      <c r="KR2" t="str">
        <f>"905"</f>
        <v>905</v>
      </c>
      <c r="KS2" t="str">
        <f>"906"</f>
        <v>906</v>
      </c>
      <c r="KT2" t="str">
        <f>"907/1"</f>
        <v>907/1</v>
      </c>
      <c r="KU2" t="str">
        <f>"907/2"</f>
        <v>907/2</v>
      </c>
      <c r="KV2" t="str">
        <f>"908"</f>
        <v>908</v>
      </c>
      <c r="KW2" t="str">
        <f>"909"</f>
        <v>909</v>
      </c>
      <c r="KX2" t="str">
        <f>"910"</f>
        <v>910</v>
      </c>
      <c r="KY2" t="str">
        <f>"911/1"</f>
        <v>911/1</v>
      </c>
      <c r="KZ2" t="str">
        <f>"911/2"</f>
        <v>911/2</v>
      </c>
      <c r="LA2" t="str">
        <f>"912/1"</f>
        <v>912/1</v>
      </c>
      <c r="LB2" t="str">
        <f>"912/2"</f>
        <v>912/2</v>
      </c>
      <c r="LC2" t="str">
        <f>"913/1"</f>
        <v>913/1</v>
      </c>
      <c r="LD2" t="str">
        <f>"913/2"</f>
        <v>913/2</v>
      </c>
      <c r="LE2" t="str">
        <f>"914/1"</f>
        <v>914/1</v>
      </c>
      <c r="LF2" t="str">
        <f>"914/2"</f>
        <v>914/2</v>
      </c>
      <c r="LG2" t="str">
        <f>"915/1"</f>
        <v>915/1</v>
      </c>
      <c r="LH2" t="str">
        <f>"915/2"</f>
        <v>915/2</v>
      </c>
      <c r="LI2" t="str">
        <f>"924"</f>
        <v>924</v>
      </c>
      <c r="LJ2" t="str">
        <f>"925"</f>
        <v>925</v>
      </c>
      <c r="LK2" t="str">
        <f>"926/1"</f>
        <v>926/1</v>
      </c>
      <c r="LL2" t="str">
        <f>"926/2"</f>
        <v>926/2</v>
      </c>
      <c r="LM2" t="str">
        <f>"927"</f>
        <v>927</v>
      </c>
      <c r="LN2" t="str">
        <f>"928"</f>
        <v>928</v>
      </c>
      <c r="LO2" t="str">
        <f>"929/1"</f>
        <v>929/1</v>
      </c>
      <c r="LP2" t="str">
        <f>"929/2"</f>
        <v>929/2</v>
      </c>
      <c r="LQ2" t="str">
        <f>"932/1"</f>
        <v>932/1</v>
      </c>
      <c r="LR2" t="str">
        <f>"932/2"</f>
        <v>932/2</v>
      </c>
      <c r="LS2" t="str">
        <f>"933/1"</f>
        <v>933/1</v>
      </c>
      <c r="LT2" t="str">
        <f>"933/2"</f>
        <v>933/2</v>
      </c>
      <c r="LU2" t="str">
        <f>"934"</f>
        <v>934</v>
      </c>
      <c r="LV2" t="str">
        <f>"935/1"</f>
        <v>935/1</v>
      </c>
      <c r="LW2" t="str">
        <f>"936/1"</f>
        <v>936/1</v>
      </c>
      <c r="LX2" t="str">
        <f>"936/2"</f>
        <v>936/2</v>
      </c>
      <c r="LY2" t="str">
        <f>"945/6"</f>
        <v>945/6</v>
      </c>
      <c r="LZ2" t="str">
        <f>"945/7"</f>
        <v>945/7</v>
      </c>
      <c r="MA2" t="str">
        <f>"945/8"</f>
        <v>945/8</v>
      </c>
      <c r="MB2" t="str">
        <f>"945/9"</f>
        <v>945/9</v>
      </c>
      <c r="MC2" t="str">
        <f>"945/13"</f>
        <v>945/13</v>
      </c>
      <c r="MD2" t="str">
        <f>"945/23"</f>
        <v>945/23</v>
      </c>
      <c r="ME2" t="str">
        <f>"945/24"</f>
        <v>945/24</v>
      </c>
      <c r="MF2" t="str">
        <f>"945/30"</f>
        <v>945/30</v>
      </c>
      <c r="MG2" t="str">
        <f>"945/31"</f>
        <v>945/31</v>
      </c>
      <c r="MH2" t="str">
        <f>"945/36"</f>
        <v>945/36</v>
      </c>
      <c r="MI2" t="str">
        <f>"945/37"</f>
        <v>945/37</v>
      </c>
      <c r="MJ2" t="str">
        <f>"963"</f>
        <v>963</v>
      </c>
      <c r="MK2" t="str">
        <f>"965/1"</f>
        <v>965/1</v>
      </c>
      <c r="ML2" t="str">
        <f>"972"</f>
        <v>972</v>
      </c>
      <c r="MM2" t="str">
        <f>"973/2"</f>
        <v>973/2</v>
      </c>
      <c r="MN2" t="str">
        <f>"974"</f>
        <v>974</v>
      </c>
      <c r="MO2" t="str">
        <f>"993"</f>
        <v>993</v>
      </c>
      <c r="MP2" t="str">
        <f>"1005"</f>
        <v>1005</v>
      </c>
      <c r="MQ2" t="str">
        <f>"1006"</f>
        <v>1006</v>
      </c>
      <c r="MR2" t="str">
        <f>"1007/1"</f>
        <v>1007/1</v>
      </c>
      <c r="MS2" t="str">
        <f>"1007/2"</f>
        <v>1007/2</v>
      </c>
      <c r="MT2" t="str">
        <f>"1008"</f>
        <v>1008</v>
      </c>
      <c r="MU2" t="str">
        <f>"1009"</f>
        <v>1009</v>
      </c>
      <c r="MV2" t="str">
        <f>"1010"</f>
        <v>1010</v>
      </c>
      <c r="MW2" t="str">
        <f>"1011"</f>
        <v>1011</v>
      </c>
      <c r="MX2" t="str">
        <f>"1012"</f>
        <v>1012</v>
      </c>
      <c r="MY2" t="str">
        <f>"1013"</f>
        <v>1013</v>
      </c>
      <c r="MZ2" t="str">
        <f>"1014"</f>
        <v>1014</v>
      </c>
      <c r="NA2" t="str">
        <f>"1015"</f>
        <v>1015</v>
      </c>
      <c r="NB2" t="str">
        <f>"1016"</f>
        <v>1016</v>
      </c>
      <c r="NC2" t="str">
        <f>"1017"</f>
        <v>1017</v>
      </c>
      <c r="ND2" t="str">
        <f>"1018/1"</f>
        <v>1018/1</v>
      </c>
      <c r="NE2" t="str">
        <f>"1018/2"</f>
        <v>1018/2</v>
      </c>
      <c r="NF2" t="str">
        <f>"1019"</f>
        <v>1019</v>
      </c>
      <c r="NG2" t="str">
        <f>"1020"</f>
        <v>1020</v>
      </c>
      <c r="NH2" t="str">
        <f>"1021"</f>
        <v>1021</v>
      </c>
      <c r="NI2" t="str">
        <f>"1022"</f>
        <v>1022</v>
      </c>
      <c r="NJ2" t="str">
        <f>"1023"</f>
        <v>1023</v>
      </c>
      <c r="NK2" t="str">
        <f>"1024"</f>
        <v>1024</v>
      </c>
      <c r="NL2" t="str">
        <f>"1027"</f>
        <v>1027</v>
      </c>
      <c r="NM2" t="str">
        <f>"1028"</f>
        <v>1028</v>
      </c>
      <c r="NN2" t="str">
        <f>"1029"</f>
        <v>1029</v>
      </c>
      <c r="NO2" t="str">
        <f>"1030"</f>
        <v>1030</v>
      </c>
      <c r="NP2" t="str">
        <f>"1031"</f>
        <v>1031</v>
      </c>
      <c r="NQ2" t="str">
        <f>"1032"</f>
        <v>1032</v>
      </c>
      <c r="NR2" t="str">
        <f>"1033"</f>
        <v>1033</v>
      </c>
      <c r="NS2" t="str">
        <f>"1034"</f>
        <v>1034</v>
      </c>
      <c r="NT2" t="str">
        <f>"1035"</f>
        <v>1035</v>
      </c>
      <c r="NU2" t="str">
        <f>"1036"</f>
        <v>1036</v>
      </c>
      <c r="NV2" t="str">
        <f>"1037"</f>
        <v>1037</v>
      </c>
      <c r="NW2" t="str">
        <f>"1038"</f>
        <v>1038</v>
      </c>
      <c r="NX2" t="str">
        <f>"1039"</f>
        <v>1039</v>
      </c>
      <c r="NY2" t="str">
        <f>"1040/1"</f>
        <v>1040/1</v>
      </c>
      <c r="NZ2" t="str">
        <f>"1040/2"</f>
        <v>1040/2</v>
      </c>
      <c r="OA2" t="str">
        <f>"1040/3"</f>
        <v>1040/3</v>
      </c>
      <c r="OB2" t="str">
        <f>"1041/1"</f>
        <v>1041/1</v>
      </c>
      <c r="OC2" t="str">
        <f>"1041/2"</f>
        <v>1041/2</v>
      </c>
      <c r="OD2" t="str">
        <f>"1042"</f>
        <v>1042</v>
      </c>
      <c r="OE2" t="str">
        <f>"1043"</f>
        <v>1043</v>
      </c>
      <c r="OF2" t="str">
        <f>"1044"</f>
        <v>1044</v>
      </c>
      <c r="OG2" t="str">
        <f>"1045"</f>
        <v>1045</v>
      </c>
      <c r="OH2" t="str">
        <f>"1046"</f>
        <v>1046</v>
      </c>
      <c r="OI2" t="str">
        <f>"1047"</f>
        <v>1047</v>
      </c>
      <c r="OJ2" t="str">
        <f>"1048"</f>
        <v>1048</v>
      </c>
      <c r="OK2" t="str">
        <f>"1049/1"</f>
        <v>1049/1</v>
      </c>
      <c r="OL2" t="str">
        <f>"1049/2"</f>
        <v>1049/2</v>
      </c>
      <c r="OM2" t="str">
        <f>"1050"</f>
        <v>1050</v>
      </c>
      <c r="ON2" t="str">
        <f>"1051"</f>
        <v>1051</v>
      </c>
      <c r="OO2" t="str">
        <f>"1052"</f>
        <v>1052</v>
      </c>
      <c r="OP2" t="str">
        <f>"1053"</f>
        <v>1053</v>
      </c>
      <c r="OQ2" t="str">
        <f>"1054"</f>
        <v>1054</v>
      </c>
      <c r="OR2" t="str">
        <f>"1055"</f>
        <v>1055</v>
      </c>
      <c r="OS2" t="str">
        <f>"1058"</f>
        <v>1058</v>
      </c>
      <c r="OT2" t="str">
        <f>"1061"</f>
        <v>1061</v>
      </c>
      <c r="OU2" t="str">
        <f>"1088"</f>
        <v>1088</v>
      </c>
      <c r="OV2" t="str">
        <f>"1092"</f>
        <v>1092</v>
      </c>
      <c r="OW2" t="str">
        <f>"1093/1"</f>
        <v>1093/1</v>
      </c>
      <c r="OX2" t="str">
        <f>"1093/2"</f>
        <v>1093/2</v>
      </c>
      <c r="OY2" t="str">
        <f>"1094"</f>
        <v>1094</v>
      </c>
      <c r="OZ2" t="str">
        <f>"1095"</f>
        <v>1095</v>
      </c>
      <c r="PA2" t="str">
        <f>"1096/1"</f>
        <v>1096/1</v>
      </c>
      <c r="PB2" t="str">
        <f>"1096/2"</f>
        <v>1096/2</v>
      </c>
      <c r="PC2" t="str">
        <f>"1097"</f>
        <v>1097</v>
      </c>
      <c r="PD2" t="str">
        <f>"1098"</f>
        <v>1098</v>
      </c>
      <c r="PE2" t="str">
        <f>"1104"</f>
        <v>1104</v>
      </c>
      <c r="PF2" t="str">
        <f>"1105"</f>
        <v>1105</v>
      </c>
      <c r="PG2" t="str">
        <f>"1106/1"</f>
        <v>1106/1</v>
      </c>
      <c r="PH2" t="str">
        <f>"1106/2"</f>
        <v>1106/2</v>
      </c>
      <c r="PI2" t="str">
        <f>"1106/3"</f>
        <v>1106/3</v>
      </c>
      <c r="PJ2" t="str">
        <f>"1107"</f>
        <v>1107</v>
      </c>
      <c r="PK2" t="str">
        <f>"1108/1"</f>
        <v>1108/1</v>
      </c>
      <c r="PL2" t="str">
        <f>"1108/2"</f>
        <v>1108/2</v>
      </c>
      <c r="PM2" t="str">
        <f>"1108/3"</f>
        <v>1108/3</v>
      </c>
      <c r="PN2" t="str">
        <f>"1108/4"</f>
        <v>1108/4</v>
      </c>
      <c r="PO2" t="str">
        <f>"1112/4"</f>
        <v>1112/4</v>
      </c>
      <c r="PP2" t="str">
        <f>"1112/5"</f>
        <v>1112/5</v>
      </c>
      <c r="PQ2" t="str">
        <f>"1112/6"</f>
        <v>1112/6</v>
      </c>
      <c r="PR2" t="str">
        <f>"1112/7"</f>
        <v>1112/7</v>
      </c>
      <c r="PS2" t="str">
        <f>"1112/8"</f>
        <v>1112/8</v>
      </c>
      <c r="PT2" t="str">
        <f>"1112/9"</f>
        <v>1112/9</v>
      </c>
      <c r="PU2" t="str">
        <f>"1112/10"</f>
        <v>1112/10</v>
      </c>
      <c r="PV2" t="str">
        <f>"1112/11"</f>
        <v>1112/11</v>
      </c>
      <c r="PW2" t="str">
        <f>"1112/12"</f>
        <v>1112/12</v>
      </c>
      <c r="PX2" t="str">
        <f>"1112/13"</f>
        <v>1112/13</v>
      </c>
      <c r="PY2" t="str">
        <f>"1112/14"</f>
        <v>1112/14</v>
      </c>
      <c r="PZ2" t="str">
        <f>"1112/15"</f>
        <v>1112/15</v>
      </c>
      <c r="QA2" t="str">
        <f>"1112/16"</f>
        <v>1112/16</v>
      </c>
      <c r="QB2" t="str">
        <f>"1112/18"</f>
        <v>1112/18</v>
      </c>
      <c r="QC2" t="str">
        <f>"1112/19"</f>
        <v>1112/19</v>
      </c>
      <c r="QD2" t="str">
        <f>"1112/20"</f>
        <v>1112/20</v>
      </c>
      <c r="QE2" t="str">
        <f>"1112/21"</f>
        <v>1112/21</v>
      </c>
      <c r="QF2" t="str">
        <f>"1114/1"</f>
        <v>1114/1</v>
      </c>
      <c r="QG2" t="str">
        <f>"1114/2"</f>
        <v>1114/2</v>
      </c>
      <c r="QH2" t="str">
        <f>"1115/1"</f>
        <v>1115/1</v>
      </c>
      <c r="QI2" t="str">
        <f>"1116/1"</f>
        <v>1116/1</v>
      </c>
      <c r="QJ2" t="str">
        <f>"1116/2"</f>
        <v>1116/2</v>
      </c>
      <c r="QK2" t="str">
        <f>"1116/3"</f>
        <v>1116/3</v>
      </c>
      <c r="QL2" t="str">
        <f>"1116/4"</f>
        <v>1116/4</v>
      </c>
      <c r="QM2" t="str">
        <f>"1118"</f>
        <v>1118</v>
      </c>
      <c r="QN2" t="str">
        <f>"1120/1"</f>
        <v>1120/1</v>
      </c>
      <c r="QO2" t="str">
        <f>"1120/2"</f>
        <v>1120/2</v>
      </c>
      <c r="QP2" t="str">
        <f>"1121"</f>
        <v>1121</v>
      </c>
      <c r="QQ2" t="str">
        <f>"1122/13"</f>
        <v>1122/13</v>
      </c>
      <c r="QR2" t="str">
        <f>"1130/7"</f>
        <v>1130/7</v>
      </c>
      <c r="QS2" t="str">
        <f>"1130/9"</f>
        <v>1130/9</v>
      </c>
      <c r="QT2" t="str">
        <f>"1130/10"</f>
        <v>1130/10</v>
      </c>
      <c r="QU2" t="str">
        <f>"1162"</f>
        <v>1162</v>
      </c>
      <c r="QV2" t="str">
        <f>"1163"</f>
        <v>1163</v>
      </c>
      <c r="QW2" t="str">
        <f>"1164"</f>
        <v>1164</v>
      </c>
      <c r="QX2" t="str">
        <f>"1165"</f>
        <v>1165</v>
      </c>
      <c r="QY2" t="str">
        <f>"1166/1"</f>
        <v>1166/1</v>
      </c>
      <c r="QZ2" t="str">
        <f>"1166/2"</f>
        <v>1166/2</v>
      </c>
      <c r="RA2" t="str">
        <f>"1166/3"</f>
        <v>1166/3</v>
      </c>
      <c r="RB2" t="str">
        <f>"1166/4"</f>
        <v>1166/4</v>
      </c>
      <c r="RC2" t="str">
        <f>"1166/5"</f>
        <v>1166/5</v>
      </c>
      <c r="RD2" t="str">
        <f>"1166/6"</f>
        <v>1166/6</v>
      </c>
      <c r="RE2" t="str">
        <f>"1170"</f>
        <v>1170</v>
      </c>
      <c r="RF2" t="str">
        <f>"1171"</f>
        <v>1171</v>
      </c>
      <c r="RG2" t="str">
        <f>"1172"</f>
        <v>1172</v>
      </c>
      <c r="RH2" t="str">
        <f>"1173"</f>
        <v>1173</v>
      </c>
      <c r="RI2" t="str">
        <f>"1174"</f>
        <v>1174</v>
      </c>
      <c r="RJ2" t="str">
        <f>"1175/1"</f>
        <v>1175/1</v>
      </c>
      <c r="RK2" t="str">
        <f>"1175/2"</f>
        <v>1175/2</v>
      </c>
      <c r="RL2" t="str">
        <f>"1175/3"</f>
        <v>1175/3</v>
      </c>
      <c r="RM2" t="str">
        <f>"1176/1"</f>
        <v>1176/1</v>
      </c>
      <c r="RN2" t="str">
        <f>"1176/3"</f>
        <v>1176/3</v>
      </c>
      <c r="RO2" t="str">
        <f>"1178/1"</f>
        <v>1178/1</v>
      </c>
      <c r="RP2" t="str">
        <f>"1178/2"</f>
        <v>1178/2</v>
      </c>
      <c r="RQ2" t="str">
        <f>"1188/2"</f>
        <v>1188/2</v>
      </c>
      <c r="RR2" t="str">
        <f>"1382/1"</f>
        <v>1382/1</v>
      </c>
      <c r="RS2" t="str">
        <f>"1382/2"</f>
        <v>1382/2</v>
      </c>
      <c r="RT2" t="str">
        <f>"1385/2"</f>
        <v>1385/2</v>
      </c>
      <c r="RU2" t="str">
        <f>"1385/3"</f>
        <v>1385/3</v>
      </c>
      <c r="RV2" t="str">
        <f>"1386/1"</f>
        <v>1386/1</v>
      </c>
      <c r="RW2" t="str">
        <f>"1386/3"</f>
        <v>1386/3</v>
      </c>
      <c r="RX2" t="str">
        <f>"1386/4"</f>
        <v>1386/4</v>
      </c>
      <c r="RY2" t="str">
        <f>"1386/5"</f>
        <v>1386/5</v>
      </c>
      <c r="RZ2" t="str">
        <f>"1386/6"</f>
        <v>1386/6</v>
      </c>
      <c r="SA2" t="str">
        <f>"1386/8"</f>
        <v>1386/8</v>
      </c>
      <c r="SB2" t="str">
        <f>"1386/9"</f>
        <v>1386/9</v>
      </c>
      <c r="SC2" t="str">
        <f>"1386/10"</f>
        <v>1386/10</v>
      </c>
      <c r="SD2" t="str">
        <f>"1386/11"</f>
        <v>1386/11</v>
      </c>
      <c r="SE2" t="str">
        <f>"1386/12"</f>
        <v>1386/12</v>
      </c>
      <c r="SF2" t="str">
        <f>"1386/15"</f>
        <v>1386/15</v>
      </c>
      <c r="SG2" t="str">
        <f>"1386/16"</f>
        <v>1386/16</v>
      </c>
      <c r="SH2" t="str">
        <f>"1388"</f>
        <v>1388</v>
      </c>
      <c r="SI2" t="str">
        <f>"1389"</f>
        <v>1389</v>
      </c>
      <c r="SJ2" t="str">
        <f>"1390"</f>
        <v>1390</v>
      </c>
      <c r="SK2" t="str">
        <f>"1391"</f>
        <v>1391</v>
      </c>
      <c r="SL2" t="str">
        <f>"1392/2"</f>
        <v>1392/2</v>
      </c>
      <c r="SM2" t="str">
        <f>"2392/6"</f>
        <v>2392/6</v>
      </c>
      <c r="SN2" t="str">
        <f>"2405/5"</f>
        <v>2405/5</v>
      </c>
      <c r="SO2" t="str">
        <f>"2410/3"</f>
        <v>2410/3</v>
      </c>
      <c r="SP2" t="str">
        <f>"2432/2"</f>
        <v>2432/2</v>
      </c>
    </row>
    <row r="6" spans="1:510" x14ac:dyDescent="0.25">
      <c r="A6" t="s">
        <v>13</v>
      </c>
    </row>
    <row r="7" spans="1:510" x14ac:dyDescent="0.25">
      <c r="A7" t="str">
        <f>"407/1"</f>
        <v>407/1</v>
      </c>
      <c r="B7" t="str">
        <f>"854/1"</f>
        <v>854/1</v>
      </c>
      <c r="C7" t="str">
        <f>"854/7"</f>
        <v>854/7</v>
      </c>
      <c r="D7" t="str">
        <f>"854/9"</f>
        <v>854/9</v>
      </c>
      <c r="E7" t="str">
        <f>"1530"</f>
        <v>1530</v>
      </c>
    </row>
    <row r="11" spans="1:510" x14ac:dyDescent="0.25">
      <c r="A11" t="s">
        <v>14</v>
      </c>
    </row>
    <row r="12" spans="1:510" x14ac:dyDescent="0.25">
      <c r="A12" t="str">
        <f>"1204"</f>
        <v>1204</v>
      </c>
      <c r="B12" t="str">
        <f>"1205"</f>
        <v>1205</v>
      </c>
    </row>
    <row r="17" spans="1:8" x14ac:dyDescent="0.25">
      <c r="A17" t="s">
        <v>15</v>
      </c>
    </row>
    <row r="18" spans="1:8" x14ac:dyDescent="0.25">
      <c r="A18" t="str">
        <f>"3673"</f>
        <v>3673</v>
      </c>
      <c r="B18" t="str">
        <f>"3674"</f>
        <v>3674</v>
      </c>
      <c r="C18" t="str">
        <f>"3675"</f>
        <v>3675</v>
      </c>
      <c r="D18" t="str">
        <f>"3676"</f>
        <v>3676</v>
      </c>
      <c r="E18" t="str">
        <f>"3677"</f>
        <v>3677</v>
      </c>
      <c r="F18" t="str">
        <f>"3678"</f>
        <v>3678</v>
      </c>
      <c r="G18" t="str">
        <f>"3679"</f>
        <v>3679</v>
      </c>
      <c r="H18" t="str">
        <f>"3680"</f>
        <v>3680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export (2)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Vozár Martin</dc:creator>
  <cp:lastModifiedBy>Vozár Martin</cp:lastModifiedBy>
  <dcterms:created xsi:type="dcterms:W3CDTF">2025-01-23T14:47:27Z</dcterms:created>
  <dcterms:modified xsi:type="dcterms:W3CDTF">2025-01-29T13:54:52Z</dcterms:modified>
</cp:coreProperties>
</file>